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_All Agency Shared\Website Uploads\SPECIAL NEEDS\2018 COC\"/>
    </mc:Choice>
  </mc:AlternateContent>
  <bookViews>
    <workbookView xWindow="0" yWindow="0" windowWidth="28800" windowHeight="11610" tabRatio="847"/>
  </bookViews>
  <sheets>
    <sheet name="BOS" sheetId="1" r:id="rId1"/>
    <sheet name="Youth" sheetId="2" r:id="rId2"/>
    <sheet name="Apache" sheetId="3" r:id="rId3"/>
    <sheet name="Cochise" sheetId="4" r:id="rId4"/>
    <sheet name="Coconino" sheetId="5" r:id="rId5"/>
    <sheet name="Gila" sheetId="6" r:id="rId6"/>
    <sheet name="Graham" sheetId="8" r:id="rId7"/>
    <sheet name="Greenlee" sheetId="7" r:id="rId8"/>
    <sheet name="La Paz" sheetId="10" r:id="rId9"/>
    <sheet name="Mohave" sheetId="9" r:id="rId10"/>
    <sheet name="Navajo" sheetId="15" r:id="rId11"/>
    <sheet name="Pinal" sheetId="11" r:id="rId12"/>
    <sheet name="Santa Cruz" sheetId="12" r:id="rId13"/>
    <sheet name="Yavapai" sheetId="13" r:id="rId14"/>
    <sheet name="Yuma" sheetId="14" r:id="rId15"/>
  </sheets>
  <definedNames>
    <definedName name="_xlnm.Print_Area" localSheetId="2">Apache!$A$1:$F$120</definedName>
    <definedName name="_xlnm.Print_Area" localSheetId="0">BOS!$A$1:$E$323</definedName>
    <definedName name="_xlnm.Print_Area" localSheetId="3">Cochise!$A$1:$F$185</definedName>
    <definedName name="_xlnm.Print_Area" localSheetId="4">Coconino!$A$1:$F$188</definedName>
    <definedName name="_xlnm.Print_Area" localSheetId="7">Greenlee!$A$1:$F$86</definedName>
    <definedName name="_xlnm.Print_Area" localSheetId="1">Youth!$A$1:$C$31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5" i="15" l="1"/>
  <c r="E154" i="15"/>
  <c r="E153" i="15"/>
  <c r="E152" i="15"/>
  <c r="E151" i="15"/>
  <c r="F155" i="15"/>
  <c r="D155" i="15"/>
  <c r="C155" i="15"/>
  <c r="E183" i="4"/>
  <c r="E182" i="4"/>
  <c r="E181" i="4"/>
  <c r="E180" i="4"/>
  <c r="E179" i="4"/>
  <c r="F184" i="4"/>
  <c r="F183" i="4"/>
  <c r="D183" i="4"/>
  <c r="C183" i="4"/>
  <c r="D90" i="14" l="1"/>
  <c r="D89" i="14"/>
  <c r="D88" i="14"/>
  <c r="D87" i="14"/>
  <c r="D86" i="14"/>
  <c r="D85" i="14"/>
  <c r="D84" i="14"/>
  <c r="D83" i="14"/>
  <c r="F186" i="13"/>
  <c r="D187" i="13"/>
  <c r="C187" i="13"/>
  <c r="E186" i="13"/>
  <c r="E185" i="13"/>
  <c r="F185" i="13" s="1"/>
  <c r="E184" i="13"/>
  <c r="F184" i="13" s="1"/>
  <c r="F187" i="13" s="1"/>
  <c r="E180" i="13"/>
  <c r="F180" i="13" s="1"/>
  <c r="F176" i="13"/>
  <c r="F172" i="13"/>
  <c r="E176" i="13"/>
  <c r="E175" i="13"/>
  <c r="F175" i="13" s="1"/>
  <c r="E174" i="13"/>
  <c r="F174" i="13" s="1"/>
  <c r="E173" i="13"/>
  <c r="F173" i="13" s="1"/>
  <c r="E172" i="13"/>
  <c r="E177" i="13" s="1"/>
  <c r="D177" i="13"/>
  <c r="C177" i="13"/>
  <c r="F166" i="13"/>
  <c r="F162" i="13"/>
  <c r="E168" i="13"/>
  <c r="F168" i="13" s="1"/>
  <c r="E167" i="13"/>
  <c r="F167" i="13" s="1"/>
  <c r="E166" i="13"/>
  <c r="E165" i="13"/>
  <c r="F165" i="13" s="1"/>
  <c r="E164" i="13"/>
  <c r="F164" i="13" s="1"/>
  <c r="E163" i="13"/>
  <c r="F163" i="13" s="1"/>
  <c r="E162" i="13"/>
  <c r="E161" i="13"/>
  <c r="F161" i="13" s="1"/>
  <c r="C169" i="13"/>
  <c r="D157" i="13"/>
  <c r="D156" i="13"/>
  <c r="D155" i="13"/>
  <c r="D154" i="13"/>
  <c r="D158" i="13" s="1"/>
  <c r="D153" i="13"/>
  <c r="D152" i="13"/>
  <c r="D151" i="13"/>
  <c r="C158" i="13"/>
  <c r="D147" i="13"/>
  <c r="D146" i="13"/>
  <c r="D145" i="13"/>
  <c r="D148" i="13" s="1"/>
  <c r="C148" i="13"/>
  <c r="D142" i="13"/>
  <c r="D139" i="13"/>
  <c r="E133" i="13"/>
  <c r="D136" i="13"/>
  <c r="D130" i="13"/>
  <c r="D127" i="13"/>
  <c r="D123" i="13"/>
  <c r="D122" i="13"/>
  <c r="D121" i="13"/>
  <c r="D120" i="13"/>
  <c r="D119" i="13"/>
  <c r="D118" i="13"/>
  <c r="D117" i="13"/>
  <c r="D116" i="13"/>
  <c r="D124" i="13" s="1"/>
  <c r="C124" i="13"/>
  <c r="D111" i="13"/>
  <c r="D110" i="13"/>
  <c r="D109" i="13"/>
  <c r="D108" i="13"/>
  <c r="D107" i="13"/>
  <c r="D106" i="13"/>
  <c r="D105" i="13"/>
  <c r="D112" i="13" s="1"/>
  <c r="C112" i="13"/>
  <c r="D100" i="13"/>
  <c r="D99" i="13"/>
  <c r="D98" i="13"/>
  <c r="D97" i="13"/>
  <c r="D96" i="13"/>
  <c r="D95" i="13"/>
  <c r="D94" i="13"/>
  <c r="D101" i="13" s="1"/>
  <c r="C101" i="13"/>
  <c r="D90" i="13"/>
  <c r="D89" i="13"/>
  <c r="D88" i="13"/>
  <c r="D87" i="13"/>
  <c r="D86" i="13"/>
  <c r="D85" i="13"/>
  <c r="C90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81" i="13" s="1"/>
  <c r="C81" i="13"/>
  <c r="D65" i="13"/>
  <c r="D64" i="13"/>
  <c r="D63" i="13"/>
  <c r="D62" i="13"/>
  <c r="D61" i="13"/>
  <c r="D60" i="13"/>
  <c r="D59" i="13"/>
  <c r="D58" i="13"/>
  <c r="D66" i="13" s="1"/>
  <c r="C66" i="13"/>
  <c r="D54" i="13"/>
  <c r="B36" i="1"/>
  <c r="C17" i="1"/>
  <c r="C18" i="1"/>
  <c r="C19" i="1"/>
  <c r="C20" i="1"/>
  <c r="C21" i="1"/>
  <c r="C22" i="1"/>
  <c r="C23" i="1"/>
  <c r="C24" i="1"/>
  <c r="C25" i="1"/>
  <c r="C26" i="1"/>
  <c r="C28" i="1"/>
  <c r="C29" i="1"/>
  <c r="B30" i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B95" i="1"/>
  <c r="C94" i="1"/>
  <c r="C93" i="1"/>
  <c r="C92" i="1"/>
  <c r="C91" i="1"/>
  <c r="C90" i="1"/>
  <c r="C89" i="1"/>
  <c r="C88" i="1"/>
  <c r="C87" i="1"/>
  <c r="C98" i="1"/>
  <c r="C99" i="1"/>
  <c r="C100" i="1"/>
  <c r="B101" i="1"/>
  <c r="C51" i="13"/>
  <c r="D50" i="13"/>
  <c r="D49" i="13"/>
  <c r="D48" i="13"/>
  <c r="D47" i="13"/>
  <c r="D46" i="13"/>
  <c r="D45" i="13"/>
  <c r="D44" i="13"/>
  <c r="D43" i="13"/>
  <c r="D39" i="13"/>
  <c r="D38" i="13"/>
  <c r="D37" i="13"/>
  <c r="D36" i="13"/>
  <c r="D40" i="13" s="1"/>
  <c r="D35" i="13"/>
  <c r="D34" i="13"/>
  <c r="D33" i="13"/>
  <c r="C40" i="13"/>
  <c r="D29" i="13"/>
  <c r="D28" i="13"/>
  <c r="D27" i="13"/>
  <c r="D26" i="13"/>
  <c r="D25" i="13"/>
  <c r="D24" i="13"/>
  <c r="D23" i="13"/>
  <c r="D22" i="13"/>
  <c r="D30" i="13" s="1"/>
  <c r="C30" i="13"/>
  <c r="D18" i="13"/>
  <c r="D17" i="13"/>
  <c r="D16" i="13"/>
  <c r="D15" i="13"/>
  <c r="C19" i="13"/>
  <c r="D11" i="13"/>
  <c r="D10" i="13"/>
  <c r="D9" i="13"/>
  <c r="D8" i="13"/>
  <c r="D7" i="13"/>
  <c r="D6" i="13"/>
  <c r="D5" i="13"/>
  <c r="C12" i="13"/>
  <c r="D2" i="13"/>
  <c r="F169" i="13" l="1"/>
  <c r="F177" i="13"/>
  <c r="E187" i="13"/>
  <c r="E169" i="13"/>
  <c r="D12" i="13"/>
  <c r="D19" i="13"/>
  <c r="D51" i="13"/>
  <c r="C30" i="1"/>
  <c r="C95" i="1"/>
  <c r="C101" i="1"/>
  <c r="F10" i="12"/>
  <c r="E9" i="12"/>
  <c r="E8" i="12"/>
  <c r="E7" i="12"/>
  <c r="F9" i="12"/>
  <c r="D9" i="12"/>
  <c r="C9" i="12"/>
  <c r="F185" i="11"/>
  <c r="F184" i="11"/>
  <c r="E184" i="11"/>
  <c r="E183" i="11"/>
  <c r="E182" i="11"/>
  <c r="D184" i="11"/>
  <c r="C184" i="11"/>
  <c r="F179" i="11"/>
  <c r="F178" i="11"/>
  <c r="F177" i="11"/>
  <c r="F176" i="11"/>
  <c r="E179" i="11"/>
  <c r="D179" i="11"/>
  <c r="C179" i="11"/>
  <c r="E178" i="11"/>
  <c r="E177" i="11"/>
  <c r="E176" i="11"/>
  <c r="F172" i="11"/>
  <c r="E172" i="11"/>
  <c r="F169" i="11"/>
  <c r="F168" i="11"/>
  <c r="F167" i="11"/>
  <c r="F166" i="11"/>
  <c r="F165" i="11"/>
  <c r="F164" i="11"/>
  <c r="E169" i="11"/>
  <c r="E168" i="11"/>
  <c r="E167" i="11"/>
  <c r="E166" i="11"/>
  <c r="E165" i="11"/>
  <c r="E164" i="11"/>
  <c r="D169" i="11"/>
  <c r="C169" i="11"/>
  <c r="F161" i="11"/>
  <c r="F160" i="11"/>
  <c r="F159" i="11"/>
  <c r="F158" i="11"/>
  <c r="F157" i="11"/>
  <c r="F156" i="11"/>
  <c r="F155" i="11"/>
  <c r="F154" i="11"/>
  <c r="F153" i="11"/>
  <c r="E161" i="11"/>
  <c r="E160" i="11"/>
  <c r="E159" i="11"/>
  <c r="E158" i="11"/>
  <c r="E157" i="11"/>
  <c r="E156" i="11"/>
  <c r="E155" i="11"/>
  <c r="E154" i="11"/>
  <c r="E153" i="11"/>
  <c r="D161" i="11"/>
  <c r="C161" i="11"/>
  <c r="D150" i="11"/>
  <c r="D149" i="11"/>
  <c r="D148" i="11"/>
  <c r="D147" i="11"/>
  <c r="D146" i="11"/>
  <c r="D145" i="11"/>
  <c r="D144" i="11"/>
  <c r="D143" i="11"/>
  <c r="C150" i="11"/>
  <c r="D139" i="11"/>
  <c r="D138" i="11"/>
  <c r="D137" i="11"/>
  <c r="C139" i="11"/>
  <c r="D134" i="11"/>
  <c r="D131" i="11"/>
  <c r="D128" i="11"/>
  <c r="D116" i="11"/>
  <c r="D113" i="11"/>
  <c r="D112" i="11"/>
  <c r="D111" i="11"/>
  <c r="D110" i="11"/>
  <c r="D109" i="11"/>
  <c r="D108" i="11"/>
  <c r="D107" i="11"/>
  <c r="D106" i="11"/>
  <c r="D105" i="11"/>
  <c r="C113" i="11"/>
  <c r="D101" i="11"/>
  <c r="D100" i="11"/>
  <c r="D99" i="11"/>
  <c r="D98" i="11"/>
  <c r="D97" i="11"/>
  <c r="D96" i="11"/>
  <c r="D95" i="11"/>
  <c r="D94" i="11"/>
  <c r="C101" i="11"/>
  <c r="D90" i="11"/>
  <c r="D89" i="11"/>
  <c r="D88" i="11"/>
  <c r="D87" i="11"/>
  <c r="D86" i="11"/>
  <c r="D85" i="11"/>
  <c r="C90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C81" i="11"/>
  <c r="D65" i="11"/>
  <c r="D64" i="11"/>
  <c r="D63" i="11"/>
  <c r="D62" i="11"/>
  <c r="D61" i="11"/>
  <c r="D60" i="11"/>
  <c r="D59" i="11"/>
  <c r="D58" i="11"/>
  <c r="D57" i="11"/>
  <c r="C65" i="11"/>
  <c r="D53" i="11"/>
  <c r="D50" i="11"/>
  <c r="D49" i="11"/>
  <c r="D48" i="11"/>
  <c r="D47" i="11"/>
  <c r="D46" i="11"/>
  <c r="D45" i="11"/>
  <c r="D44" i="11"/>
  <c r="D43" i="11"/>
  <c r="D42" i="11"/>
  <c r="C50" i="11"/>
  <c r="D39" i="11"/>
  <c r="D38" i="11"/>
  <c r="D37" i="11"/>
  <c r="D36" i="11"/>
  <c r="D35" i="11"/>
  <c r="D34" i="11"/>
  <c r="D33" i="11"/>
  <c r="D32" i="11"/>
  <c r="C39" i="11"/>
  <c r="D29" i="11"/>
  <c r="C29" i="11"/>
  <c r="D28" i="11"/>
  <c r="D27" i="11"/>
  <c r="D26" i="11"/>
  <c r="D25" i="11"/>
  <c r="D24" i="11"/>
  <c r="D23" i="11"/>
  <c r="D22" i="11"/>
  <c r="D21" i="11"/>
  <c r="D18" i="11"/>
  <c r="D17" i="11"/>
  <c r="D16" i="11"/>
  <c r="D15" i="11"/>
  <c r="C18" i="11"/>
  <c r="D12" i="11"/>
  <c r="D11" i="11"/>
  <c r="D10" i="11"/>
  <c r="D9" i="11"/>
  <c r="D8" i="11"/>
  <c r="D7" i="11"/>
  <c r="D6" i="11"/>
  <c r="D5" i="11"/>
  <c r="C12" i="11"/>
  <c r="D2" i="11"/>
  <c r="F146" i="15"/>
  <c r="E146" i="15"/>
  <c r="E145" i="15"/>
  <c r="F145" i="15" s="1"/>
  <c r="F147" i="15" s="1"/>
  <c r="D147" i="15"/>
  <c r="C147" i="15"/>
  <c r="E141" i="15"/>
  <c r="F141" i="15" s="1"/>
  <c r="F135" i="15"/>
  <c r="F138" i="15" s="1"/>
  <c r="E138" i="15"/>
  <c r="E137" i="15"/>
  <c r="F137" i="15" s="1"/>
  <c r="E136" i="15"/>
  <c r="F136" i="15" s="1"/>
  <c r="D138" i="15"/>
  <c r="C138" i="15"/>
  <c r="E135" i="15"/>
  <c r="F131" i="15"/>
  <c r="F130" i="15"/>
  <c r="F127" i="15"/>
  <c r="E131" i="15"/>
  <c r="E130" i="15"/>
  <c r="E129" i="15"/>
  <c r="F129" i="15" s="1"/>
  <c r="E128" i="15"/>
  <c r="E132" i="15" s="1"/>
  <c r="E127" i="15"/>
  <c r="D132" i="15"/>
  <c r="C132" i="15"/>
  <c r="D123" i="15"/>
  <c r="D122" i="15"/>
  <c r="D121" i="15"/>
  <c r="D120" i="15"/>
  <c r="D124" i="15" s="1"/>
  <c r="D119" i="15"/>
  <c r="C124" i="15"/>
  <c r="C116" i="15"/>
  <c r="D115" i="15"/>
  <c r="D114" i="15"/>
  <c r="D113" i="15"/>
  <c r="D116" i="15" s="1"/>
  <c r="D110" i="15"/>
  <c r="D104" i="15"/>
  <c r="D96" i="15"/>
  <c r="D92" i="15"/>
  <c r="D88" i="15"/>
  <c r="D87" i="15"/>
  <c r="D86" i="15"/>
  <c r="D85" i="15"/>
  <c r="D89" i="15" s="1"/>
  <c r="D84" i="15"/>
  <c r="C89" i="15"/>
  <c r="D79" i="15"/>
  <c r="D78" i="15"/>
  <c r="D77" i="15"/>
  <c r="D76" i="15"/>
  <c r="C80" i="15"/>
  <c r="D71" i="15"/>
  <c r="D70" i="15"/>
  <c r="D69" i="15"/>
  <c r="D68" i="15"/>
  <c r="D67" i="15"/>
  <c r="C72" i="15"/>
  <c r="D62" i="15"/>
  <c r="D61" i="15"/>
  <c r="D60" i="15"/>
  <c r="D59" i="15"/>
  <c r="D58" i="15"/>
  <c r="D57" i="15"/>
  <c r="D63" i="15" s="1"/>
  <c r="D56" i="15"/>
  <c r="C63" i="15"/>
  <c r="D51" i="15"/>
  <c r="D50" i="15"/>
  <c r="D49" i="15"/>
  <c r="D48" i="15"/>
  <c r="D44" i="15"/>
  <c r="D45" i="15" s="1"/>
  <c r="C52" i="15"/>
  <c r="D40" i="15"/>
  <c r="D39" i="15"/>
  <c r="D38" i="15"/>
  <c r="D37" i="15"/>
  <c r="D36" i="15"/>
  <c r="D35" i="15"/>
  <c r="D34" i="15"/>
  <c r="C41" i="15"/>
  <c r="D30" i="15"/>
  <c r="D29" i="15"/>
  <c r="D28" i="15"/>
  <c r="D27" i="15"/>
  <c r="C31" i="15"/>
  <c r="D23" i="15"/>
  <c r="D22" i="15"/>
  <c r="D21" i="15"/>
  <c r="D20" i="15"/>
  <c r="D19" i="15"/>
  <c r="D18" i="15"/>
  <c r="C24" i="15"/>
  <c r="D14" i="15"/>
  <c r="D13" i="15"/>
  <c r="D12" i="15"/>
  <c r="C15" i="15"/>
  <c r="D8" i="15"/>
  <c r="D7" i="15"/>
  <c r="D6" i="15"/>
  <c r="D9" i="15" s="1"/>
  <c r="C9" i="15"/>
  <c r="D2" i="15"/>
  <c r="E187" i="9"/>
  <c r="E186" i="9"/>
  <c r="E185" i="9"/>
  <c r="E188" i="9" s="1"/>
  <c r="F188" i="9"/>
  <c r="D188" i="9"/>
  <c r="F189" i="9" s="1"/>
  <c r="C188" i="9"/>
  <c r="D24" i="15" l="1"/>
  <c r="D41" i="15"/>
  <c r="D80" i="15"/>
  <c r="F128" i="15"/>
  <c r="F132" i="15" s="1"/>
  <c r="D52" i="15"/>
  <c r="E147" i="15"/>
  <c r="D72" i="15"/>
  <c r="D15" i="15"/>
  <c r="D31" i="15"/>
  <c r="F179" i="9" l="1"/>
  <c r="F177" i="9"/>
  <c r="E180" i="9"/>
  <c r="F180" i="9" s="1"/>
  <c r="E179" i="9"/>
  <c r="E178" i="9"/>
  <c r="F178" i="9" s="1"/>
  <c r="E177" i="9"/>
  <c r="E181" i="9" s="1"/>
  <c r="D181" i="9"/>
  <c r="C181" i="9"/>
  <c r="F173" i="9"/>
  <c r="E173" i="9"/>
  <c r="D170" i="9"/>
  <c r="C170" i="9"/>
  <c r="E169" i="9"/>
  <c r="F169" i="9" s="1"/>
  <c r="E168" i="9"/>
  <c r="F168" i="9" s="1"/>
  <c r="E167" i="9"/>
  <c r="F167" i="9" s="1"/>
  <c r="E166" i="9"/>
  <c r="F166" i="9" s="1"/>
  <c r="E165" i="9"/>
  <c r="F165" i="9" s="1"/>
  <c r="F170" i="9" s="1"/>
  <c r="F160" i="9"/>
  <c r="F158" i="9"/>
  <c r="F156" i="9"/>
  <c r="F154" i="9"/>
  <c r="F162" i="9" s="1"/>
  <c r="E161" i="9"/>
  <c r="F161" i="9" s="1"/>
  <c r="E160" i="9"/>
  <c r="E159" i="9"/>
  <c r="F159" i="9" s="1"/>
  <c r="E158" i="9"/>
  <c r="E157" i="9"/>
  <c r="F157" i="9" s="1"/>
  <c r="E156" i="9"/>
  <c r="E155" i="9"/>
  <c r="F155" i="9" s="1"/>
  <c r="E154" i="9"/>
  <c r="E162" i="9" s="1"/>
  <c r="C162" i="9"/>
  <c r="D150" i="9"/>
  <c r="D149" i="9"/>
  <c r="D148" i="9"/>
  <c r="D147" i="9"/>
  <c r="D146" i="9"/>
  <c r="D145" i="9"/>
  <c r="D144" i="9"/>
  <c r="D151" i="9" s="1"/>
  <c r="C151" i="9"/>
  <c r="D139" i="9"/>
  <c r="D138" i="9"/>
  <c r="D140" i="9" s="1"/>
  <c r="D137" i="9"/>
  <c r="C140" i="9"/>
  <c r="D134" i="9"/>
  <c r="D131" i="9"/>
  <c r="E125" i="9"/>
  <c r="D122" i="9"/>
  <c r="D128" i="9"/>
  <c r="D119" i="9"/>
  <c r="D115" i="9"/>
  <c r="D114" i="9"/>
  <c r="D113" i="9"/>
  <c r="D112" i="9"/>
  <c r="D111" i="9"/>
  <c r="D110" i="9"/>
  <c r="D109" i="9"/>
  <c r="D108" i="9"/>
  <c r="D116" i="9" s="1"/>
  <c r="C116" i="9"/>
  <c r="D103" i="9"/>
  <c r="D102" i="9"/>
  <c r="D101" i="9"/>
  <c r="D100" i="9"/>
  <c r="D99" i="9"/>
  <c r="D98" i="9"/>
  <c r="D97" i="9"/>
  <c r="D104" i="9" s="1"/>
  <c r="C104" i="9"/>
  <c r="D92" i="9"/>
  <c r="D91" i="9"/>
  <c r="D90" i="9"/>
  <c r="D89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84" i="9" s="1"/>
  <c r="D88" i="9"/>
  <c r="C93" i="9"/>
  <c r="C84" i="9"/>
  <c r="D67" i="9"/>
  <c r="D66" i="9"/>
  <c r="D65" i="9"/>
  <c r="D64" i="9"/>
  <c r="D63" i="9"/>
  <c r="D62" i="9"/>
  <c r="D61" i="9"/>
  <c r="D60" i="9"/>
  <c r="D59" i="9"/>
  <c r="D58" i="9"/>
  <c r="D57" i="9"/>
  <c r="C68" i="9"/>
  <c r="D54" i="9"/>
  <c r="D50" i="9"/>
  <c r="D49" i="9"/>
  <c r="D48" i="9"/>
  <c r="D47" i="9"/>
  <c r="D46" i="9"/>
  <c r="D45" i="9"/>
  <c r="D44" i="9"/>
  <c r="C51" i="9"/>
  <c r="D40" i="9"/>
  <c r="D39" i="9"/>
  <c r="D38" i="9"/>
  <c r="D37" i="9"/>
  <c r="D36" i="9"/>
  <c r="D35" i="9"/>
  <c r="C41" i="9"/>
  <c r="D31" i="9"/>
  <c r="D30" i="9"/>
  <c r="D29" i="9"/>
  <c r="D28" i="9"/>
  <c r="D27" i="9"/>
  <c r="D26" i="9"/>
  <c r="D25" i="9"/>
  <c r="D24" i="9"/>
  <c r="C32" i="9"/>
  <c r="D20" i="9"/>
  <c r="D19" i="9"/>
  <c r="D18" i="9"/>
  <c r="C21" i="9"/>
  <c r="D14" i="9"/>
  <c r="D13" i="9"/>
  <c r="D12" i="9"/>
  <c r="D11" i="9"/>
  <c r="D10" i="9"/>
  <c r="D9" i="9"/>
  <c r="D8" i="9"/>
  <c r="D7" i="9"/>
  <c r="D6" i="9"/>
  <c r="C15" i="9"/>
  <c r="D2" i="9"/>
  <c r="F179" i="10"/>
  <c r="E178" i="10"/>
  <c r="E177" i="10"/>
  <c r="E176" i="10"/>
  <c r="E175" i="10"/>
  <c r="F178" i="10"/>
  <c r="D178" i="10"/>
  <c r="C178" i="10"/>
  <c r="F171" i="10"/>
  <c r="F170" i="10"/>
  <c r="F169" i="10"/>
  <c r="F168" i="10"/>
  <c r="E171" i="10"/>
  <c r="E170" i="10"/>
  <c r="E169" i="10"/>
  <c r="E168" i="10"/>
  <c r="D171" i="10"/>
  <c r="C171" i="10"/>
  <c r="F164" i="10"/>
  <c r="E164" i="10"/>
  <c r="F161" i="10"/>
  <c r="F160" i="10"/>
  <c r="F159" i="10"/>
  <c r="F158" i="10"/>
  <c r="F157" i="10"/>
  <c r="E161" i="10"/>
  <c r="D161" i="10"/>
  <c r="C161" i="10"/>
  <c r="E160" i="10"/>
  <c r="E159" i="10"/>
  <c r="E158" i="10"/>
  <c r="E157" i="10"/>
  <c r="F154" i="10"/>
  <c r="F153" i="10"/>
  <c r="F152" i="10"/>
  <c r="F151" i="10"/>
  <c r="F150" i="10"/>
  <c r="F149" i="10"/>
  <c r="F148" i="10"/>
  <c r="F147" i="10"/>
  <c r="F146" i="10"/>
  <c r="D154" i="10"/>
  <c r="C154" i="10"/>
  <c r="E154" i="10"/>
  <c r="E153" i="10"/>
  <c r="E152" i="10"/>
  <c r="E151" i="10"/>
  <c r="E150" i="10"/>
  <c r="E149" i="10"/>
  <c r="E148" i="10"/>
  <c r="E147" i="10"/>
  <c r="E146" i="10"/>
  <c r="D143" i="10"/>
  <c r="D142" i="10"/>
  <c r="D141" i="10"/>
  <c r="D140" i="10"/>
  <c r="D139" i="10"/>
  <c r="D138" i="10"/>
  <c r="D137" i="10"/>
  <c r="D136" i="10"/>
  <c r="C143" i="10"/>
  <c r="D132" i="10"/>
  <c r="D131" i="10"/>
  <c r="D130" i="10"/>
  <c r="D129" i="10"/>
  <c r="C132" i="10"/>
  <c r="D126" i="10"/>
  <c r="D123" i="10"/>
  <c r="D120" i="10"/>
  <c r="D114" i="10"/>
  <c r="D110" i="10"/>
  <c r="D107" i="10"/>
  <c r="D106" i="10"/>
  <c r="D105" i="10"/>
  <c r="D104" i="10"/>
  <c r="D103" i="10"/>
  <c r="D102" i="10"/>
  <c r="D101" i="10"/>
  <c r="D100" i="10"/>
  <c r="D99" i="10"/>
  <c r="C107" i="10"/>
  <c r="D95" i="10"/>
  <c r="D94" i="10"/>
  <c r="D93" i="10"/>
  <c r="D92" i="10"/>
  <c r="D91" i="10"/>
  <c r="D90" i="10"/>
  <c r="D89" i="10"/>
  <c r="C95" i="10"/>
  <c r="D85" i="10"/>
  <c r="D84" i="10"/>
  <c r="D83" i="10"/>
  <c r="D82" i="10"/>
  <c r="D81" i="10"/>
  <c r="D80" i="10"/>
  <c r="C85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C76" i="10"/>
  <c r="D60" i="10"/>
  <c r="D59" i="10"/>
  <c r="D58" i="10"/>
  <c r="D57" i="10"/>
  <c r="D56" i="10"/>
  <c r="D55" i="10"/>
  <c r="D54" i="10"/>
  <c r="D53" i="10"/>
  <c r="D52" i="10"/>
  <c r="C60" i="10"/>
  <c r="D48" i="10"/>
  <c r="D45" i="10"/>
  <c r="D44" i="10"/>
  <c r="D43" i="10"/>
  <c r="D42" i="10"/>
  <c r="D41" i="10"/>
  <c r="D40" i="10"/>
  <c r="D39" i="10"/>
  <c r="D38" i="10"/>
  <c r="D37" i="10"/>
  <c r="C45" i="10"/>
  <c r="D34" i="10"/>
  <c r="D33" i="10"/>
  <c r="D32" i="10"/>
  <c r="D31" i="10"/>
  <c r="D30" i="10"/>
  <c r="D29" i="10"/>
  <c r="C34" i="10"/>
  <c r="D26" i="10"/>
  <c r="D25" i="10"/>
  <c r="D24" i="10"/>
  <c r="D23" i="10"/>
  <c r="D22" i="10"/>
  <c r="D21" i="10"/>
  <c r="D20" i="10"/>
  <c r="D19" i="10"/>
  <c r="C26" i="10"/>
  <c r="D16" i="10"/>
  <c r="D15" i="10"/>
  <c r="D14" i="10"/>
  <c r="D13" i="10"/>
  <c r="D12" i="10"/>
  <c r="C16" i="10"/>
  <c r="D9" i="10"/>
  <c r="D8" i="10"/>
  <c r="D7" i="10"/>
  <c r="D6" i="10"/>
  <c r="C9" i="10"/>
  <c r="D2" i="10"/>
  <c r="F181" i="9" l="1"/>
  <c r="E170" i="9"/>
  <c r="D21" i="9"/>
  <c r="D32" i="9"/>
  <c r="D68" i="9"/>
  <c r="D93" i="9"/>
  <c r="D15" i="9"/>
  <c r="D41" i="9"/>
  <c r="D51" i="9"/>
  <c r="F130" i="8"/>
  <c r="E130" i="8"/>
  <c r="E129" i="8"/>
  <c r="E128" i="8"/>
  <c r="D130" i="8"/>
  <c r="F131" i="8" s="1"/>
  <c r="C130" i="8"/>
  <c r="D124" i="8"/>
  <c r="C124" i="8"/>
  <c r="E123" i="8"/>
  <c r="F123" i="8" s="1"/>
  <c r="E122" i="8"/>
  <c r="F122" i="8" s="1"/>
  <c r="F124" i="8" s="1"/>
  <c r="E119" i="8"/>
  <c r="F119" i="8" s="1"/>
  <c r="F115" i="8"/>
  <c r="E115" i="8"/>
  <c r="E114" i="8"/>
  <c r="F114" i="8" s="1"/>
  <c r="F116" i="8" s="1"/>
  <c r="D116" i="8"/>
  <c r="C116" i="8"/>
  <c r="F110" i="8"/>
  <c r="F106" i="8"/>
  <c r="E110" i="8"/>
  <c r="E109" i="8"/>
  <c r="F109" i="8" s="1"/>
  <c r="E108" i="8"/>
  <c r="F108" i="8" s="1"/>
  <c r="E107" i="8"/>
  <c r="E111" i="8" s="1"/>
  <c r="E106" i="8"/>
  <c r="D111" i="8"/>
  <c r="C111" i="8"/>
  <c r="C103" i="8"/>
  <c r="D93" i="8"/>
  <c r="D90" i="8"/>
  <c r="D83" i="8"/>
  <c r="D76" i="8"/>
  <c r="D75" i="8"/>
  <c r="D74" i="8"/>
  <c r="D73" i="8"/>
  <c r="D72" i="8"/>
  <c r="D71" i="8"/>
  <c r="D70" i="8"/>
  <c r="C76" i="8"/>
  <c r="D66" i="8"/>
  <c r="D65" i="8"/>
  <c r="D64" i="8"/>
  <c r="D63" i="8"/>
  <c r="D62" i="8"/>
  <c r="C66" i="8"/>
  <c r="D58" i="8"/>
  <c r="D57" i="8"/>
  <c r="D56" i="8"/>
  <c r="D55" i="8"/>
  <c r="D54" i="8"/>
  <c r="D53" i="8"/>
  <c r="C58" i="8"/>
  <c r="D49" i="8"/>
  <c r="D48" i="8"/>
  <c r="D47" i="8"/>
  <c r="D46" i="8"/>
  <c r="D45" i="8"/>
  <c r="D44" i="8"/>
  <c r="D43" i="8"/>
  <c r="D42" i="8"/>
  <c r="C49" i="8"/>
  <c r="D37" i="8"/>
  <c r="D36" i="8"/>
  <c r="D38" i="8" s="1"/>
  <c r="C38" i="8"/>
  <c r="D32" i="8"/>
  <c r="D28" i="8"/>
  <c r="D27" i="8"/>
  <c r="D26" i="8"/>
  <c r="D25" i="8"/>
  <c r="C29" i="8"/>
  <c r="D21" i="8"/>
  <c r="D20" i="8"/>
  <c r="C22" i="8"/>
  <c r="D17" i="8"/>
  <c r="D16" i="8"/>
  <c r="D15" i="8"/>
  <c r="D14" i="8"/>
  <c r="D13" i="8"/>
  <c r="C17" i="8"/>
  <c r="D9" i="8"/>
  <c r="D8" i="8"/>
  <c r="D10" i="8" s="1"/>
  <c r="C10" i="8"/>
  <c r="D2" i="8"/>
  <c r="F158" i="6"/>
  <c r="F157" i="6"/>
  <c r="E157" i="6"/>
  <c r="E156" i="6"/>
  <c r="E155" i="6"/>
  <c r="D157" i="6"/>
  <c r="C157" i="6"/>
  <c r="F151" i="6"/>
  <c r="F150" i="6"/>
  <c r="F149" i="6"/>
  <c r="E151" i="6"/>
  <c r="D151" i="6"/>
  <c r="C151" i="6"/>
  <c r="E150" i="6"/>
  <c r="E149" i="6"/>
  <c r="F145" i="6"/>
  <c r="E145" i="6"/>
  <c r="F142" i="6"/>
  <c r="F141" i="6"/>
  <c r="F140" i="6"/>
  <c r="E142" i="6"/>
  <c r="D142" i="6"/>
  <c r="C142" i="6"/>
  <c r="E141" i="6"/>
  <c r="E140" i="6"/>
  <c r="F137" i="6"/>
  <c r="F136" i="6"/>
  <c r="F135" i="6"/>
  <c r="F134" i="6"/>
  <c r="F133" i="6"/>
  <c r="F132" i="6"/>
  <c r="F131" i="6"/>
  <c r="F130" i="6"/>
  <c r="E137" i="6"/>
  <c r="D137" i="6"/>
  <c r="E136" i="6"/>
  <c r="E135" i="6"/>
  <c r="E134" i="6"/>
  <c r="E133" i="6"/>
  <c r="E132" i="6"/>
  <c r="E131" i="6"/>
  <c r="E130" i="6"/>
  <c r="D126" i="6"/>
  <c r="D125" i="6"/>
  <c r="D124" i="6"/>
  <c r="C127" i="6"/>
  <c r="D108" i="6"/>
  <c r="D100" i="6"/>
  <c r="C120" i="6"/>
  <c r="C137" i="6"/>
  <c r="D112" i="6"/>
  <c r="D96" i="6"/>
  <c r="E124" i="8" l="1"/>
  <c r="F107" i="8"/>
  <c r="F111" i="8" s="1"/>
  <c r="E116" i="8"/>
  <c r="D93" i="6"/>
  <c r="D92" i="6"/>
  <c r="D91" i="6"/>
  <c r="D90" i="6"/>
  <c r="D89" i="6"/>
  <c r="D88" i="6"/>
  <c r="D87" i="6"/>
  <c r="C93" i="6"/>
  <c r="D82" i="6"/>
  <c r="D81" i="6"/>
  <c r="D80" i="6"/>
  <c r="D79" i="6"/>
  <c r="D78" i="6"/>
  <c r="D83" i="6" s="1"/>
  <c r="C83" i="6"/>
  <c r="D64" i="6"/>
  <c r="D63" i="6"/>
  <c r="D62" i="6"/>
  <c r="D61" i="6"/>
  <c r="D60" i="6"/>
  <c r="D59" i="6"/>
  <c r="D58" i="6"/>
  <c r="D57" i="6"/>
  <c r="D73" i="6"/>
  <c r="D72" i="6"/>
  <c r="D71" i="6"/>
  <c r="D70" i="6"/>
  <c r="D69" i="6"/>
  <c r="C74" i="6"/>
  <c r="C65" i="6"/>
  <c r="D52" i="6"/>
  <c r="D51" i="6"/>
  <c r="D50" i="6"/>
  <c r="D49" i="6"/>
  <c r="D48" i="6"/>
  <c r="D47" i="6"/>
  <c r="C53" i="6"/>
  <c r="D44" i="6"/>
  <c r="D40" i="6"/>
  <c r="D39" i="6"/>
  <c r="D38" i="6"/>
  <c r="D37" i="6"/>
  <c r="D36" i="6"/>
  <c r="D35" i="6"/>
  <c r="D34" i="6"/>
  <c r="D33" i="6"/>
  <c r="C41" i="6"/>
  <c r="D29" i="6"/>
  <c r="D28" i="6"/>
  <c r="C30" i="6"/>
  <c r="D24" i="6"/>
  <c r="D23" i="6"/>
  <c r="D22" i="6"/>
  <c r="D21" i="6"/>
  <c r="D20" i="6"/>
  <c r="D19" i="6"/>
  <c r="C25" i="6"/>
  <c r="D15" i="6"/>
  <c r="D14" i="6"/>
  <c r="D13" i="6"/>
  <c r="D12" i="6"/>
  <c r="C16" i="6"/>
  <c r="D8" i="6"/>
  <c r="D7" i="6"/>
  <c r="D6" i="6"/>
  <c r="D5" i="6"/>
  <c r="C9" i="6"/>
  <c r="D2" i="6"/>
  <c r="D169" i="13"/>
  <c r="D162" i="9"/>
  <c r="D9" i="6" l="1"/>
  <c r="D25" i="6"/>
  <c r="D41" i="6"/>
  <c r="D53" i="6"/>
  <c r="D16" i="6"/>
  <c r="D30" i="6"/>
  <c r="D65" i="6"/>
  <c r="D74" i="6"/>
  <c r="E117" i="10"/>
  <c r="F167" i="14" l="1"/>
  <c r="F166" i="14"/>
  <c r="F165" i="14"/>
  <c r="F164" i="14"/>
  <c r="F163" i="14"/>
  <c r="E167" i="14"/>
  <c r="D167" i="14"/>
  <c r="C167" i="14"/>
  <c r="E166" i="14"/>
  <c r="E165" i="14"/>
  <c r="E164" i="14"/>
  <c r="E163" i="14"/>
  <c r="F159" i="14"/>
  <c r="F156" i="14"/>
  <c r="F155" i="14"/>
  <c r="F154" i="14"/>
  <c r="F153" i="14"/>
  <c r="F152" i="14"/>
  <c r="D156" i="14"/>
  <c r="C156" i="14"/>
  <c r="E155" i="14"/>
  <c r="E154" i="14"/>
  <c r="E153" i="14"/>
  <c r="E152" i="14"/>
  <c r="F149" i="14"/>
  <c r="F148" i="14"/>
  <c r="F147" i="14"/>
  <c r="F146" i="14"/>
  <c r="F145" i="14"/>
  <c r="F144" i="14"/>
  <c r="F143" i="14"/>
  <c r="F142" i="14"/>
  <c r="F141" i="14"/>
  <c r="E149" i="14"/>
  <c r="E148" i="14"/>
  <c r="E147" i="14"/>
  <c r="E146" i="14"/>
  <c r="E145" i="14"/>
  <c r="E144" i="14"/>
  <c r="E143" i="14"/>
  <c r="E142" i="14"/>
  <c r="E141" i="14"/>
  <c r="D138" i="14"/>
  <c r="D137" i="14"/>
  <c r="D136" i="14"/>
  <c r="D135" i="14"/>
  <c r="D134" i="14"/>
  <c r="D133" i="14"/>
  <c r="C130" i="14"/>
  <c r="D128" i="14"/>
  <c r="D127" i="14"/>
  <c r="D126" i="14"/>
  <c r="D125" i="14"/>
  <c r="D122" i="14"/>
  <c r="D119" i="14"/>
  <c r="D116" i="14"/>
  <c r="D109" i="14"/>
  <c r="D103" i="14"/>
  <c r="D102" i="14"/>
  <c r="D101" i="14"/>
  <c r="D100" i="14"/>
  <c r="D99" i="14"/>
  <c r="D98" i="14"/>
  <c r="D97" i="14"/>
  <c r="D96" i="14"/>
  <c r="D95" i="14"/>
  <c r="D91" i="14"/>
  <c r="D79" i="14"/>
  <c r="D78" i="14"/>
  <c r="D77" i="14"/>
  <c r="D76" i="14"/>
  <c r="D75" i="14"/>
  <c r="D74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5" i="14"/>
  <c r="D54" i="14"/>
  <c r="D53" i="14"/>
  <c r="D52" i="14"/>
  <c r="D51" i="14"/>
  <c r="D50" i="14"/>
  <c r="D47" i="14"/>
  <c r="D44" i="14"/>
  <c r="D43" i="14"/>
  <c r="D42" i="14"/>
  <c r="D41" i="14"/>
  <c r="D40" i="14"/>
  <c r="D39" i="14"/>
  <c r="D38" i="14"/>
  <c r="D37" i="14"/>
  <c r="D34" i="14"/>
  <c r="D33" i="14"/>
  <c r="D32" i="14"/>
  <c r="D31" i="14"/>
  <c r="D30" i="14"/>
  <c r="D29" i="14"/>
  <c r="D26" i="14"/>
  <c r="D25" i="14"/>
  <c r="D24" i="14"/>
  <c r="D23" i="14"/>
  <c r="D22" i="14"/>
  <c r="D21" i="14"/>
  <c r="D20" i="14"/>
  <c r="D19" i="14"/>
  <c r="D16" i="14"/>
  <c r="D15" i="14"/>
  <c r="D14" i="14"/>
  <c r="D13" i="14"/>
  <c r="D12" i="14"/>
  <c r="D11" i="14"/>
  <c r="D8" i="14"/>
  <c r="D7" i="14"/>
  <c r="D6" i="14"/>
  <c r="D5" i="14"/>
  <c r="D2" i="14"/>
  <c r="E156" i="14" l="1"/>
  <c r="E175" i="14"/>
  <c r="E174" i="14"/>
  <c r="E173" i="14"/>
  <c r="E172" i="14"/>
  <c r="E171" i="14"/>
  <c r="F176" i="14"/>
  <c r="F175" i="14"/>
  <c r="D175" i="14"/>
  <c r="C175" i="14"/>
  <c r="D149" i="14"/>
  <c r="C149" i="14"/>
  <c r="C16" i="14"/>
  <c r="D15" i="5"/>
  <c r="D14" i="5"/>
  <c r="D13" i="5"/>
  <c r="D12" i="5"/>
  <c r="C16" i="5"/>
  <c r="C143" i="5"/>
  <c r="C137" i="4"/>
  <c r="C15" i="4"/>
  <c r="D14" i="4"/>
  <c r="D13" i="4"/>
  <c r="D12" i="4"/>
  <c r="D7" i="3"/>
  <c r="D6" i="3"/>
  <c r="D15" i="4" l="1"/>
  <c r="C268" i="1"/>
  <c r="C138" i="14"/>
  <c r="C103" i="14"/>
  <c r="C91" i="14"/>
  <c r="C79" i="14"/>
  <c r="C70" i="14"/>
  <c r="C55" i="14"/>
  <c r="C44" i="14"/>
  <c r="C26" i="14"/>
  <c r="C34" i="14"/>
  <c r="C8" i="14"/>
  <c r="F186" i="5" l="1"/>
  <c r="E185" i="5"/>
  <c r="E184" i="5"/>
  <c r="E183" i="5"/>
  <c r="E182" i="5"/>
  <c r="D186" i="5"/>
  <c r="F187" i="5" s="1"/>
  <c r="E177" i="5"/>
  <c r="F177" i="5" s="1"/>
  <c r="E176" i="5"/>
  <c r="F176" i="5" s="1"/>
  <c r="E175" i="5"/>
  <c r="D178" i="5"/>
  <c r="C178" i="5"/>
  <c r="F171" i="5"/>
  <c r="E171" i="5"/>
  <c r="E170" i="5"/>
  <c r="F170" i="5" s="1"/>
  <c r="E169" i="5"/>
  <c r="F169" i="5" s="1"/>
  <c r="E168" i="5"/>
  <c r="F168" i="5" s="1"/>
  <c r="F172" i="5" s="1"/>
  <c r="D172" i="5"/>
  <c r="C172" i="5"/>
  <c r="F160" i="5"/>
  <c r="D164" i="5"/>
  <c r="C164" i="5"/>
  <c r="E163" i="5"/>
  <c r="F163" i="5" s="1"/>
  <c r="E162" i="5"/>
  <c r="F162" i="5" s="1"/>
  <c r="E161" i="5"/>
  <c r="F161" i="5" s="1"/>
  <c r="E160" i="5"/>
  <c r="E159" i="5"/>
  <c r="F159" i="5" s="1"/>
  <c r="E158" i="5"/>
  <c r="F158" i="5" s="1"/>
  <c r="E157" i="5"/>
  <c r="D152" i="5"/>
  <c r="D151" i="5"/>
  <c r="D150" i="5"/>
  <c r="D149" i="5"/>
  <c r="D148" i="5"/>
  <c r="D147" i="5"/>
  <c r="C153" i="5"/>
  <c r="D140" i="5"/>
  <c r="D139" i="5"/>
  <c r="D138" i="5"/>
  <c r="D134" i="5"/>
  <c r="D131" i="5"/>
  <c r="D127" i="5"/>
  <c r="E123" i="5"/>
  <c r="D119" i="5"/>
  <c r="D111" i="5"/>
  <c r="D110" i="5"/>
  <c r="D109" i="5"/>
  <c r="D108" i="5"/>
  <c r="D107" i="5"/>
  <c r="D106" i="5"/>
  <c r="D105" i="5"/>
  <c r="D104" i="5"/>
  <c r="C112" i="5"/>
  <c r="D99" i="5"/>
  <c r="D98" i="5"/>
  <c r="D97" i="5"/>
  <c r="D96" i="5"/>
  <c r="D95" i="5"/>
  <c r="D94" i="5"/>
  <c r="D93" i="5"/>
  <c r="D92" i="5"/>
  <c r="C100" i="5"/>
  <c r="D87" i="5"/>
  <c r="D86" i="5"/>
  <c r="D85" i="5"/>
  <c r="D84" i="5"/>
  <c r="D83" i="5"/>
  <c r="C88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C79" i="5"/>
  <c r="D61" i="5"/>
  <c r="D60" i="5"/>
  <c r="D59" i="5"/>
  <c r="D58" i="5"/>
  <c r="D57" i="5"/>
  <c r="D56" i="5"/>
  <c r="D55" i="5"/>
  <c r="D54" i="5"/>
  <c r="C62" i="5"/>
  <c r="D50" i="5"/>
  <c r="D46" i="5"/>
  <c r="D45" i="5"/>
  <c r="D44" i="5"/>
  <c r="D43" i="5"/>
  <c r="D42" i="5"/>
  <c r="D41" i="5"/>
  <c r="D40" i="5"/>
  <c r="D39" i="5"/>
  <c r="C47" i="5"/>
  <c r="D35" i="5"/>
  <c r="D34" i="5"/>
  <c r="D33" i="5"/>
  <c r="D32" i="5"/>
  <c r="D31" i="5"/>
  <c r="D30" i="5"/>
  <c r="C36" i="5"/>
  <c r="C27" i="5"/>
  <c r="D26" i="5"/>
  <c r="D25" i="5"/>
  <c r="D24" i="5"/>
  <c r="D22" i="5"/>
  <c r="D23" i="5"/>
  <c r="D21" i="5"/>
  <c r="D20" i="5"/>
  <c r="D19" i="5"/>
  <c r="D8" i="5"/>
  <c r="D7" i="5"/>
  <c r="D6" i="5"/>
  <c r="C9" i="5"/>
  <c r="D2" i="5"/>
  <c r="D27" i="5" l="1"/>
  <c r="D79" i="5"/>
  <c r="D100" i="5"/>
  <c r="E164" i="5"/>
  <c r="D153" i="5"/>
  <c r="D112" i="5"/>
  <c r="E178" i="5"/>
  <c r="E186" i="5"/>
  <c r="E172" i="5"/>
  <c r="F175" i="5"/>
  <c r="F178" i="5" s="1"/>
  <c r="D36" i="5"/>
  <c r="F157" i="5"/>
  <c r="F164" i="5" s="1"/>
  <c r="D47" i="5"/>
  <c r="D9" i="5"/>
  <c r="D88" i="5"/>
  <c r="E321" i="1"/>
  <c r="E320" i="1"/>
  <c r="E319" i="1"/>
  <c r="E318" i="1"/>
  <c r="D322" i="1"/>
  <c r="C322" i="1"/>
  <c r="B322" i="1"/>
  <c r="C238" i="1"/>
  <c r="E322" i="1" l="1"/>
  <c r="D115" i="5"/>
  <c r="D8" i="4" l="1"/>
  <c r="D7" i="4"/>
  <c r="D6" i="4"/>
  <c r="D5" i="4"/>
  <c r="D26" i="4"/>
  <c r="D25" i="4"/>
  <c r="D24" i="4"/>
  <c r="D23" i="4"/>
  <c r="D22" i="4"/>
  <c r="D21" i="4"/>
  <c r="D20" i="4"/>
  <c r="D19" i="4"/>
  <c r="D35" i="4"/>
  <c r="D34" i="4"/>
  <c r="D33" i="4"/>
  <c r="D32" i="4"/>
  <c r="D31" i="4"/>
  <c r="D30" i="4"/>
  <c r="D46" i="4"/>
  <c r="D45" i="4"/>
  <c r="D44" i="4"/>
  <c r="D43" i="4"/>
  <c r="D42" i="4"/>
  <c r="D41" i="4"/>
  <c r="D47" i="4" s="1"/>
  <c r="D40" i="4"/>
  <c r="D51" i="4"/>
  <c r="D59" i="4"/>
  <c r="D58" i="4"/>
  <c r="D57" i="4"/>
  <c r="D56" i="4"/>
  <c r="D55" i="4"/>
  <c r="D54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C77" i="4"/>
  <c r="D85" i="4"/>
  <c r="D83" i="4"/>
  <c r="D84" i="4"/>
  <c r="D82" i="4"/>
  <c r="D81" i="4"/>
  <c r="D95" i="4"/>
  <c r="D92" i="4"/>
  <c r="D94" i="4"/>
  <c r="D93" i="4"/>
  <c r="D91" i="4"/>
  <c r="D90" i="4"/>
  <c r="D106" i="4"/>
  <c r="D105" i="4"/>
  <c r="D104" i="4"/>
  <c r="D103" i="4"/>
  <c r="D102" i="4"/>
  <c r="D101" i="4"/>
  <c r="D100" i="4"/>
  <c r="D107" i="4" s="1"/>
  <c r="D115" i="4"/>
  <c r="D124" i="4"/>
  <c r="D130" i="4"/>
  <c r="D145" i="4"/>
  <c r="D146" i="4"/>
  <c r="D144" i="4"/>
  <c r="D143" i="4"/>
  <c r="D142" i="4"/>
  <c r="D147" i="4" s="1"/>
  <c r="E174" i="4"/>
  <c r="E173" i="4"/>
  <c r="F173" i="4" s="1"/>
  <c r="D175" i="4"/>
  <c r="C175" i="4"/>
  <c r="E169" i="4"/>
  <c r="F169" i="4" s="1"/>
  <c r="E165" i="4"/>
  <c r="F165" i="4" s="1"/>
  <c r="E164" i="4"/>
  <c r="F164" i="4" s="1"/>
  <c r="E163" i="4"/>
  <c r="F163" i="4" s="1"/>
  <c r="E162" i="4"/>
  <c r="F162" i="4" s="1"/>
  <c r="E161" i="4"/>
  <c r="D166" i="4"/>
  <c r="C166" i="4"/>
  <c r="E157" i="4"/>
  <c r="F157" i="4" s="1"/>
  <c r="E156" i="4"/>
  <c r="F156" i="4" s="1"/>
  <c r="E155" i="4"/>
  <c r="F155" i="4" s="1"/>
  <c r="E154" i="4"/>
  <c r="F154" i="4" s="1"/>
  <c r="E153" i="4"/>
  <c r="F153" i="4" s="1"/>
  <c r="E152" i="4"/>
  <c r="F152" i="4" s="1"/>
  <c r="E151" i="4"/>
  <c r="F151" i="4" s="1"/>
  <c r="E150" i="4"/>
  <c r="F150" i="4" s="1"/>
  <c r="D2" i="4"/>
  <c r="D158" i="4"/>
  <c r="C158" i="4"/>
  <c r="C147" i="4"/>
  <c r="D134" i="4"/>
  <c r="D133" i="4"/>
  <c r="D127" i="4"/>
  <c r="D111" i="4"/>
  <c r="C107" i="4"/>
  <c r="C96" i="4"/>
  <c r="C86" i="4"/>
  <c r="C60" i="4"/>
  <c r="C47" i="4"/>
  <c r="C36" i="4"/>
  <c r="C27" i="4"/>
  <c r="C9" i="4"/>
  <c r="F113" i="3"/>
  <c r="F114" i="3" s="1"/>
  <c r="E112" i="3"/>
  <c r="E111" i="3"/>
  <c r="E110" i="3"/>
  <c r="E113" i="3" s="1"/>
  <c r="D113" i="3"/>
  <c r="C113" i="3"/>
  <c r="E106" i="3"/>
  <c r="F106" i="3" s="1"/>
  <c r="E105" i="3"/>
  <c r="F105" i="3" s="1"/>
  <c r="E97" i="3"/>
  <c r="F97" i="3" s="1"/>
  <c r="E96" i="3"/>
  <c r="F96" i="3" s="1"/>
  <c r="E92" i="3"/>
  <c r="F92" i="3" s="1"/>
  <c r="E91" i="3"/>
  <c r="F91" i="3" s="1"/>
  <c r="E90" i="3"/>
  <c r="F90" i="3" s="1"/>
  <c r="E89" i="3"/>
  <c r="F89" i="3" s="1"/>
  <c r="D85" i="3"/>
  <c r="D82" i="3"/>
  <c r="D79" i="3"/>
  <c r="D78" i="3"/>
  <c r="D75" i="3"/>
  <c r="D71" i="3"/>
  <c r="D70" i="3"/>
  <c r="D62" i="3"/>
  <c r="D61" i="3"/>
  <c r="D60" i="3"/>
  <c r="D55" i="3"/>
  <c r="D54" i="3"/>
  <c r="D53" i="3"/>
  <c r="D49" i="3"/>
  <c r="D48" i="3"/>
  <c r="D47" i="3"/>
  <c r="D43" i="3"/>
  <c r="D42" i="3"/>
  <c r="D41" i="3"/>
  <c r="D40" i="3"/>
  <c r="D36" i="3"/>
  <c r="D35" i="3"/>
  <c r="D34" i="3"/>
  <c r="D30" i="3"/>
  <c r="D26" i="3"/>
  <c r="D24" i="3"/>
  <c r="D25" i="3"/>
  <c r="D23" i="3"/>
  <c r="D22" i="3"/>
  <c r="D18" i="3"/>
  <c r="D17" i="3"/>
  <c r="D16" i="3"/>
  <c r="D12" i="3"/>
  <c r="D11" i="3"/>
  <c r="D10" i="3"/>
  <c r="D2" i="3"/>
  <c r="D27" i="4" l="1"/>
  <c r="D9" i="4"/>
  <c r="D36" i="4"/>
  <c r="D86" i="4"/>
  <c r="E166" i="4"/>
  <c r="E175" i="4"/>
  <c r="E158" i="4"/>
  <c r="D96" i="4"/>
  <c r="D77" i="4"/>
  <c r="F158" i="4"/>
  <c r="F174" i="4"/>
  <c r="F161" i="4"/>
  <c r="F166" i="4" s="1"/>
  <c r="C29" i="2" l="1"/>
  <c r="C28" i="2"/>
  <c r="C27" i="2"/>
  <c r="C26" i="2"/>
  <c r="C25" i="2"/>
  <c r="C24" i="2"/>
  <c r="C23" i="2"/>
  <c r="C22" i="2"/>
  <c r="B29" i="2"/>
  <c r="C18" i="2"/>
  <c r="C17" i="2"/>
  <c r="C16" i="2"/>
  <c r="C15" i="2"/>
  <c r="C14" i="2"/>
  <c r="C13" i="2"/>
  <c r="B19" i="2"/>
  <c r="C8" i="2"/>
  <c r="C7" i="2"/>
  <c r="B9" i="2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B234" i="1"/>
  <c r="C315" i="1"/>
  <c r="B315" i="1"/>
  <c r="D314" i="1"/>
  <c r="E314" i="1" s="1"/>
  <c r="D313" i="1"/>
  <c r="E313" i="1" s="1"/>
  <c r="D312" i="1"/>
  <c r="E312" i="1" s="1"/>
  <c r="D311" i="1"/>
  <c r="D307" i="1"/>
  <c r="E307" i="1" s="1"/>
  <c r="C303" i="1"/>
  <c r="B303" i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C293" i="1"/>
  <c r="B293" i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B280" i="1"/>
  <c r="C279" i="1"/>
  <c r="C278" i="1"/>
  <c r="C277" i="1"/>
  <c r="C276" i="1"/>
  <c r="C275" i="1"/>
  <c r="C274" i="1"/>
  <c r="C273" i="1"/>
  <c r="B265" i="1"/>
  <c r="C265" i="1" s="1"/>
  <c r="C264" i="1"/>
  <c r="C263" i="1"/>
  <c r="C262" i="1"/>
  <c r="C259" i="1"/>
  <c r="C255" i="1"/>
  <c r="C251" i="1"/>
  <c r="B248" i="1"/>
  <c r="C246" i="1"/>
  <c r="C242" i="1"/>
  <c r="B215" i="1"/>
  <c r="C214" i="1"/>
  <c r="C213" i="1"/>
  <c r="C212" i="1"/>
  <c r="C211" i="1"/>
  <c r="C210" i="1"/>
  <c r="C209" i="1"/>
  <c r="C208" i="1"/>
  <c r="C207" i="1"/>
  <c r="B204" i="1"/>
  <c r="C203" i="1"/>
  <c r="C202" i="1"/>
  <c r="C201" i="1"/>
  <c r="C200" i="1"/>
  <c r="C199" i="1"/>
  <c r="C198" i="1"/>
  <c r="C197" i="1"/>
  <c r="C196" i="1"/>
  <c r="B192" i="1"/>
  <c r="C191" i="1"/>
  <c r="C190" i="1"/>
  <c r="C189" i="1"/>
  <c r="C188" i="1"/>
  <c r="C187" i="1"/>
  <c r="B183" i="1"/>
  <c r="C182" i="1"/>
  <c r="C181" i="1"/>
  <c r="C180" i="1"/>
  <c r="C179" i="1"/>
  <c r="C178" i="1"/>
  <c r="C177" i="1"/>
  <c r="C176" i="1"/>
  <c r="C175" i="1"/>
  <c r="B171" i="1"/>
  <c r="C170" i="1"/>
  <c r="C169" i="1"/>
  <c r="C168" i="1"/>
  <c r="C167" i="1"/>
  <c r="C166" i="1"/>
  <c r="B161" i="1"/>
  <c r="C160" i="1"/>
  <c r="C159" i="1"/>
  <c r="C158" i="1"/>
  <c r="C157" i="1"/>
  <c r="C156" i="1"/>
  <c r="B152" i="1"/>
  <c r="C151" i="1"/>
  <c r="C150" i="1"/>
  <c r="C149" i="1"/>
  <c r="C148" i="1"/>
  <c r="C147" i="1"/>
  <c r="C146" i="1"/>
  <c r="C145" i="1"/>
  <c r="C144" i="1"/>
  <c r="C143" i="1"/>
  <c r="C142" i="1"/>
  <c r="B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B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B84" i="1"/>
  <c r="C83" i="1"/>
  <c r="C82" i="1"/>
  <c r="C81" i="1"/>
  <c r="C80" i="1"/>
  <c r="C79" i="1"/>
  <c r="C78" i="1"/>
  <c r="C77" i="1"/>
  <c r="B74" i="1"/>
  <c r="C73" i="1"/>
  <c r="C72" i="1"/>
  <c r="C71" i="1"/>
  <c r="C70" i="1"/>
  <c r="C69" i="1"/>
  <c r="C68" i="1"/>
  <c r="C67" i="1"/>
  <c r="C66" i="1"/>
  <c r="B62" i="1"/>
  <c r="C61" i="1"/>
  <c r="C60" i="1"/>
  <c r="C59" i="1"/>
  <c r="C58" i="1"/>
  <c r="C57" i="1"/>
  <c r="C54" i="1"/>
  <c r="B54" i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B12" i="1"/>
  <c r="B6" i="1"/>
  <c r="B4" i="1"/>
  <c r="C234" i="1" l="1"/>
  <c r="C19" i="2"/>
  <c r="C9" i="2"/>
  <c r="C280" i="1"/>
  <c r="D54" i="1"/>
  <c r="C138" i="1"/>
  <c r="C192" i="1"/>
  <c r="C204" i="1"/>
  <c r="C74" i="1"/>
  <c r="C161" i="1"/>
  <c r="C183" i="1"/>
  <c r="D293" i="1"/>
  <c r="D315" i="1"/>
  <c r="C84" i="1"/>
  <c r="C121" i="1"/>
  <c r="C152" i="1"/>
  <c r="C215" i="1"/>
  <c r="D303" i="1"/>
  <c r="E303" i="1" s="1"/>
  <c r="E311" i="1"/>
  <c r="E315" i="1" s="1"/>
  <c r="E54" i="1"/>
  <c r="E285" i="1"/>
  <c r="E293" i="1" s="1"/>
</calcChain>
</file>

<file path=xl/sharedStrings.xml><?xml version="1.0" encoding="utf-8"?>
<sst xmlns="http://schemas.openxmlformats.org/spreadsheetml/2006/main" count="3775" uniqueCount="301">
  <si>
    <t>Number of Surveys (Deduplicated)</t>
  </si>
  <si>
    <t>Unsheltered Surveys (Households)</t>
  </si>
  <si>
    <t>Sheltered (Households)</t>
  </si>
  <si>
    <t>Total</t>
  </si>
  <si>
    <t>Surveys that were removed because they were duplicates</t>
  </si>
  <si>
    <t>Note --the sheltered are those for which a survey was completed during the count--not those in HMIS</t>
  </si>
  <si>
    <t>Unsheltered</t>
  </si>
  <si>
    <t>Sheltered</t>
  </si>
  <si>
    <t>Individuals Interviewed</t>
  </si>
  <si>
    <t>Household Members</t>
  </si>
  <si>
    <t># of HH with others</t>
  </si>
  <si>
    <t>County</t>
  </si>
  <si>
    <t>Unsheltered
Interviewed</t>
  </si>
  <si>
    <t>Unsheltered HH Members</t>
  </si>
  <si>
    <t>Total Unsheltered %</t>
  </si>
  <si>
    <t>Total sheltered %</t>
  </si>
  <si>
    <t>%</t>
  </si>
  <si>
    <t>Apache</t>
  </si>
  <si>
    <t>Cochise</t>
  </si>
  <si>
    <t>Coconino</t>
  </si>
  <si>
    <t>Gila</t>
  </si>
  <si>
    <t>Graham</t>
  </si>
  <si>
    <t>Greenlee</t>
  </si>
  <si>
    <t>La Paz</t>
  </si>
  <si>
    <t>Mohave</t>
  </si>
  <si>
    <t>Navajo</t>
  </si>
  <si>
    <t>Pinal</t>
  </si>
  <si>
    <t>Santa Cruz</t>
  </si>
  <si>
    <t>Yavapai</t>
  </si>
  <si>
    <t>Yuma</t>
  </si>
  <si>
    <t>City</t>
  </si>
  <si>
    <t>Benson</t>
  </si>
  <si>
    <t>Bisbee</t>
  </si>
  <si>
    <t>blank</t>
  </si>
  <si>
    <t>Douglas</t>
  </si>
  <si>
    <t>Sierra Vista</t>
  </si>
  <si>
    <t>Type of Household</t>
  </si>
  <si>
    <t>#</t>
  </si>
  <si>
    <t>Single</t>
  </si>
  <si>
    <t>18-24 no children</t>
  </si>
  <si>
    <t>Parent 18-24</t>
  </si>
  <si>
    <t>Adults only at least 1 25+</t>
  </si>
  <si>
    <t>Parent with children over 25</t>
  </si>
  <si>
    <t/>
  </si>
  <si>
    <t>Where did you sleep?</t>
  </si>
  <si>
    <t>Abandoned Bldg</t>
  </si>
  <si>
    <t>Behind Building</t>
  </si>
  <si>
    <t>Camping</t>
  </si>
  <si>
    <t>City Park</t>
  </si>
  <si>
    <t>Outbuilding</t>
  </si>
  <si>
    <t>Substandard Building</t>
  </si>
  <si>
    <t>Trailer/Camper</t>
  </si>
  <si>
    <t>Vehicle</t>
  </si>
  <si>
    <t>less than a month</t>
  </si>
  <si>
    <t>1-6 months</t>
  </si>
  <si>
    <t>7 mo to a year</t>
  </si>
  <si>
    <t>more than a year</t>
  </si>
  <si>
    <t>all my life</t>
  </si>
  <si>
    <t>not sure</t>
  </si>
  <si>
    <t>no</t>
  </si>
  <si>
    <t>yes</t>
  </si>
  <si>
    <t>3 how many times</t>
  </si>
  <si>
    <t>unknown</t>
  </si>
  <si>
    <t>Multiple Responses</t>
  </si>
  <si>
    <t>Economic Conditions</t>
  </si>
  <si>
    <t>1 Unable to pay rent or mortgage</t>
  </si>
  <si>
    <t>2 Bad credit</t>
  </si>
  <si>
    <t>3 Loss of childcare</t>
  </si>
  <si>
    <t>4 Loss of job</t>
  </si>
  <si>
    <t>5 Loss of public assistance</t>
  </si>
  <si>
    <t>6 Loss of transportation</t>
  </si>
  <si>
    <t>7 Eviction</t>
  </si>
  <si>
    <t>8 Traveling and stranded</t>
  </si>
  <si>
    <t>9 Mortgage foreclosure</t>
  </si>
  <si>
    <t>10 No affordable housing</t>
  </si>
  <si>
    <t>11 Substandard housing</t>
  </si>
  <si>
    <t>12 Unemployment</t>
  </si>
  <si>
    <t>13 Utility shut off</t>
  </si>
  <si>
    <t># of Economic Issues</t>
  </si>
  <si>
    <t># of Persons</t>
  </si>
  <si>
    <t>Medical Conditions</t>
  </si>
  <si>
    <t>2 Substance abuse</t>
  </si>
  <si>
    <t>3 Medical condition</t>
  </si>
  <si>
    <t>4 Physical/Mental disability</t>
  </si>
  <si>
    <t>5 Mental Disability</t>
  </si>
  <si>
    <t>6 Blank</t>
  </si>
  <si>
    <t># of Medical Issues</t>
  </si>
  <si>
    <t>Domestic Conditions</t>
  </si>
  <si>
    <t>1 Overcrowding</t>
  </si>
  <si>
    <t>2 Fire/disaster</t>
  </si>
  <si>
    <t>3 Partner/family passed away</t>
  </si>
  <si>
    <t>4 By choice</t>
  </si>
  <si>
    <t>5 Housing situation wasn't safe</t>
  </si>
  <si>
    <t>6 Legal problems</t>
  </si>
  <si>
    <t>8 Gender</t>
  </si>
  <si>
    <t>9 Divorce</t>
  </si>
  <si>
    <t>7 Blank</t>
  </si>
  <si>
    <t># of Domestic Issues</t>
  </si>
  <si>
    <t>1 Issues with substance abuse</t>
  </si>
  <si>
    <t>2 Serious Mental Illness</t>
  </si>
  <si>
    <t>3 Developmental Disability</t>
  </si>
  <si>
    <t>4 Traumatic Brain Injury</t>
  </si>
  <si>
    <t>5 Chronic Physical Injury</t>
  </si>
  <si>
    <t>6 Chronic disease, illness</t>
  </si>
  <si>
    <t>7 Post traumatic stress</t>
  </si>
  <si>
    <t>8 HIV/AIDS</t>
  </si>
  <si>
    <t>9 Blank</t>
  </si>
  <si>
    <t># of Medical Conditions</t>
  </si>
  <si>
    <t>7 Serve in the military</t>
  </si>
  <si>
    <t>yes interviewees</t>
  </si>
  <si>
    <t>Family members who served</t>
  </si>
  <si>
    <t>based on adults only</t>
  </si>
  <si>
    <t>9 Currently employed</t>
  </si>
  <si>
    <t>9 If yes</t>
  </si>
  <si>
    <t>1 full-time</t>
  </si>
  <si>
    <t>2 part-time</t>
  </si>
  <si>
    <t>Sources of Income</t>
  </si>
  <si>
    <t>1 employment</t>
  </si>
  <si>
    <t>2 Disability income</t>
  </si>
  <si>
    <t>3 Social Security</t>
  </si>
  <si>
    <t>4 Families/friends</t>
  </si>
  <si>
    <t>5 Savings</t>
  </si>
  <si>
    <t>6 Veterans compensation"</t>
  </si>
  <si>
    <t>7 Unemployment benefits</t>
  </si>
  <si>
    <t>Age</t>
  </si>
  <si>
    <t>HH Members</t>
  </si>
  <si>
    <t>Total # of Persons</t>
  </si>
  <si>
    <t>Under 18</t>
  </si>
  <si>
    <t>18-24</t>
  </si>
  <si>
    <t>25-34</t>
  </si>
  <si>
    <t>35-44</t>
  </si>
  <si>
    <t>45-54</t>
  </si>
  <si>
    <t>55-64</t>
  </si>
  <si>
    <t>65-74</t>
  </si>
  <si>
    <t>75+</t>
  </si>
  <si>
    <t>Race</t>
  </si>
  <si>
    <t>HH members</t>
  </si>
  <si>
    <t>1 White</t>
  </si>
  <si>
    <t>2 African American</t>
  </si>
  <si>
    <t>3 Asian</t>
  </si>
  <si>
    <t>4 Native American</t>
  </si>
  <si>
    <t>5 Hawaiian</t>
  </si>
  <si>
    <t>multi</t>
  </si>
  <si>
    <t>12 Hispanic</t>
  </si>
  <si>
    <t>13 Gender</t>
  </si>
  <si>
    <t>1 male</t>
  </si>
  <si>
    <t>2 female</t>
  </si>
  <si>
    <t>3 transgender</t>
  </si>
  <si>
    <t>4 non conforming</t>
  </si>
  <si>
    <t>No Individuals were reported from Santa Cruz</t>
  </si>
  <si>
    <t>total</t>
  </si>
  <si>
    <t># of conditions across all conditions</t>
  </si>
  <si>
    <t># of Individuals</t>
  </si>
  <si>
    <t>3 Couch surfing/with friends</t>
  </si>
  <si>
    <t>4 Outdoors</t>
  </si>
  <si>
    <t>Youth under 25 were asked some specific questions.
The following are the responses to those questions.</t>
  </si>
  <si>
    <t>Where do you sleep most often</t>
  </si>
  <si>
    <t>1 Ran away</t>
  </si>
  <si>
    <t>3 Friends or family</t>
  </si>
  <si>
    <t>4 Because of conflicts</t>
  </si>
  <si>
    <t>5 Because of violence</t>
  </si>
  <si>
    <t>6 Because of unhealthy relationship</t>
  </si>
  <si>
    <t>Reasons for Being Homeless</t>
  </si>
  <si>
    <t># of Responses</t>
  </si>
  <si>
    <t>2 Difference in religious values</t>
  </si>
  <si>
    <t>1 Don't use</t>
  </si>
  <si>
    <t>10 NA</t>
  </si>
  <si>
    <t>2 Instagram</t>
  </si>
  <si>
    <t>4 Kik Messenger</t>
  </si>
  <si>
    <t>6 Tumblr</t>
  </si>
  <si>
    <t>7 Twitter</t>
  </si>
  <si>
    <t>8 Facebook</t>
  </si>
  <si>
    <t>Social Media Use</t>
  </si>
  <si>
    <t>Total Unsheltered  Persons</t>
  </si>
  <si>
    <t>1 Alcohol abuse</t>
  </si>
  <si>
    <t># of Interviewed</t>
  </si>
  <si>
    <t>How long have you lived in AZ?</t>
  </si>
  <si>
    <t xml:space="preserve">How long without home? </t>
  </si>
  <si>
    <t>1 less than 14 days</t>
  </si>
  <si>
    <t>2 bet 15-31 days</t>
  </si>
  <si>
    <t>3 bet 32-90 days</t>
  </si>
  <si>
    <t>4 bet 4-6 mo</t>
  </si>
  <si>
    <t>6 one to three years</t>
  </si>
  <si>
    <t>First time homeless</t>
  </si>
  <si>
    <t>3</t>
  </si>
  <si>
    <t>4</t>
  </si>
  <si>
    <t># of responses</t>
  </si>
  <si>
    <t>Medical Condition</t>
  </si>
  <si>
    <t>Major Conditions</t>
  </si>
  <si>
    <t>Currently using health services</t>
  </si>
  <si>
    <t>Served in the military</t>
  </si>
  <si>
    <t>Survivors of Domestic Violence</t>
  </si>
  <si>
    <t>Currently Employed</t>
  </si>
  <si>
    <t>Income Sources</t>
  </si>
  <si>
    <t># HH Members</t>
  </si>
  <si>
    <t>under 18</t>
  </si>
  <si>
    <t># Interviewed</t>
  </si>
  <si>
    <t># HH members</t>
  </si>
  <si>
    <t>Hispanic</t>
  </si>
  <si>
    <t>Gender</t>
  </si>
  <si>
    <t># iInterviewed</t>
  </si>
  <si>
    <t>1 Living alone</t>
  </si>
  <si>
    <t># of Interviewed Chronically Homeless</t>
  </si>
  <si>
    <t># of HH members</t>
  </si>
  <si>
    <t>Sheltered (Reported in HMIS or by Shelter Survey)</t>
  </si>
  <si>
    <t>Project Type</t>
  </si>
  <si>
    <t># of projects</t>
  </si>
  <si>
    <t># of persons housed</t>
  </si>
  <si>
    <t>Capacity</t>
  </si>
  <si>
    <t>PSH</t>
  </si>
  <si>
    <t>RRH</t>
  </si>
  <si>
    <t>TH</t>
  </si>
  <si>
    <t># interviewed</t>
  </si>
  <si>
    <t>Projects might not have been reclassified in HMIS at the time of the report</t>
  </si>
  <si>
    <t>5 more than 6 mo less than year</t>
  </si>
  <si>
    <t>7 more than 3 years</t>
  </si>
  <si>
    <t>2</t>
  </si>
  <si>
    <t>5</t>
  </si>
  <si>
    <t>8</t>
  </si>
  <si>
    <t>Blank</t>
  </si>
  <si>
    <t>11 Sutstandard housing</t>
  </si>
  <si>
    <t># HH members in Military</t>
  </si>
  <si>
    <t>Domestic Violence contributed to their situation</t>
  </si>
  <si>
    <t>% of Survivors</t>
  </si>
  <si>
    <t xml:space="preserve">IF yes, </t>
  </si>
  <si>
    <t>% of employed</t>
  </si>
  <si>
    <t>ES</t>
  </si>
  <si>
    <t>% of responses</t>
  </si>
  <si>
    <t>#HH Members</t>
  </si>
  <si>
    <t>Flagstaff</t>
  </si>
  <si>
    <t>Page</t>
  </si>
  <si>
    <t>Tuba City</t>
  </si>
  <si>
    <t># of Households</t>
  </si>
  <si>
    <t>10</t>
  </si>
  <si>
    <t>13</t>
  </si>
  <si>
    <t>Chronically Homeless</t>
  </si>
  <si>
    <t># HH members in those households</t>
  </si>
  <si>
    <t># Individuals interviewed</t>
  </si>
  <si>
    <t>Using health Services</t>
  </si>
  <si>
    <t xml:space="preserve"> Survivor of domestic violence</t>
  </si>
  <si>
    <t xml:space="preserve"> If yes, contribute to situation</t>
  </si>
  <si>
    <t># of Projects</t>
  </si>
  <si>
    <t># of persons sheltered night of PIT</t>
  </si>
  <si>
    <t>Occupancy</t>
  </si>
  <si>
    <t>From HIC--Project Type</t>
  </si>
  <si>
    <t># if yes</t>
  </si>
  <si>
    <t xml:space="preserve"> How long in AZ</t>
  </si>
  <si>
    <t>San Luis</t>
  </si>
  <si>
    <t>Wellton</t>
  </si>
  <si>
    <t>Individuals reporting  income</t>
  </si>
  <si>
    <t># of HH</t>
  </si>
  <si>
    <t># of interviewed who reported income</t>
  </si>
  <si>
    <t xml:space="preserve">Yuma </t>
  </si>
  <si>
    <t xml:space="preserve">Total </t>
  </si>
  <si>
    <t>% of those who have income</t>
  </si>
  <si>
    <t>Claypool</t>
  </si>
  <si>
    <t>Globe</t>
  </si>
  <si>
    <t>Miami</t>
  </si>
  <si>
    <t>Payson</t>
  </si>
  <si>
    <t>12</t>
  </si>
  <si>
    <t>14 Blank</t>
  </si>
  <si>
    <t>Safford</t>
  </si>
  <si>
    <t>Clifton</t>
  </si>
  <si>
    <t>White</t>
  </si>
  <si>
    <t>Lake Havasu City (LHC)</t>
  </si>
  <si>
    <t>Parker</t>
  </si>
  <si>
    <t>Quartzite</t>
  </si>
  <si>
    <t>6</t>
  </si>
  <si>
    <t>20</t>
  </si>
  <si>
    <t>25</t>
  </si>
  <si>
    <t>Bullhead City (BHC)</t>
  </si>
  <si>
    <t>Dolan Springs</t>
  </si>
  <si>
    <t>Ft Mohave</t>
  </si>
  <si>
    <t>Golden Valley</t>
  </si>
  <si>
    <t>Havasu Heights</t>
  </si>
  <si>
    <t>Kingman</t>
  </si>
  <si>
    <t>Mohave Valley</t>
  </si>
  <si>
    <t>Unincorporated</t>
  </si>
  <si>
    <t>14</t>
  </si>
  <si>
    <t>30</t>
  </si>
  <si>
    <t>Holbrook</t>
  </si>
  <si>
    <t>Show Low</t>
  </si>
  <si>
    <t>Winslow</t>
  </si>
  <si>
    <t>7</t>
  </si>
  <si>
    <t>many races</t>
  </si>
  <si>
    <t>Apache Junction</t>
  </si>
  <si>
    <t>Casa Grande</t>
  </si>
  <si>
    <t>Coolidge</t>
  </si>
  <si>
    <t>Eloy</t>
  </si>
  <si>
    <t>Kearing</t>
  </si>
  <si>
    <t>Picacho</t>
  </si>
  <si>
    <t>San Tan Valley</t>
  </si>
  <si>
    <t>15</t>
  </si>
  <si>
    <t>Ash Fork</t>
  </si>
  <si>
    <t>Chino Valley</t>
  </si>
  <si>
    <t>Cornville</t>
  </si>
  <si>
    <t>Cottonwood</t>
  </si>
  <si>
    <t>Prescott</t>
  </si>
  <si>
    <t>Sedona</t>
  </si>
  <si>
    <t>Seligman</t>
  </si>
  <si>
    <t>How long without a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</si>
</sst>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  <scheme val="minor"/>
    </font>
    <font>
      <sz val="9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rgb="FFFF0000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</fills>
  <borders count="1">
    <border>
      <left/>
      <right/>
      <top/>
      <bottom/>
      <diagonal/>
    </border>
  </borders>
  <cellStyleXfs count="26">
    <xf numFmtId="0" fontId="0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</cellStyleXfs>
  <cellXfs count="152">
    <xf numFmtId="0" fontId="0" fillId="0" borderId="0" xfId="0"/>
    <xf numFmtId="0" fontId="1" fillId="0" borderId="0" xfId="0" applyFont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2" borderId="0" xfId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10" fontId="1" fillId="0" borderId="0" xfId="0" applyNumberFormat="1" applyFont="1" applyBorder="1" applyAlignment="1">
      <alignment wrapText="1"/>
    </xf>
    <xf numFmtId="0" fontId="7" fillId="0" borderId="0" xfId="1" applyFont="1" applyFill="1" applyBorder="1" applyAlignment="1">
      <alignment horizontal="right" wrapText="1"/>
    </xf>
    <xf numFmtId="0" fontId="3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7" fillId="4" borderId="0" xfId="1" applyFont="1" applyFill="1" applyBorder="1" applyAlignment="1">
      <alignment horizontal="right" wrapText="1"/>
    </xf>
    <xf numFmtId="0" fontId="5" fillId="2" borderId="0" xfId="3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3" applyFont="1" applyFill="1" applyBorder="1" applyAlignment="1">
      <alignment horizontal="right" wrapText="1"/>
    </xf>
    <xf numFmtId="0" fontId="7" fillId="0" borderId="0" xfId="2" applyFont="1" applyFill="1" applyBorder="1" applyAlignment="1">
      <alignment horizontal="right" wrapText="1"/>
    </xf>
    <xf numFmtId="0" fontId="5" fillId="2" borderId="0" xfId="2" applyFont="1" applyFill="1" applyBorder="1" applyAlignment="1">
      <alignment horizontal="center" wrapText="1"/>
    </xf>
    <xf numFmtId="0" fontId="7" fillId="4" borderId="0" xfId="1" applyFont="1" applyFill="1" applyBorder="1" applyAlignment="1">
      <alignment horizontal="center" wrapText="1"/>
    </xf>
    <xf numFmtId="0" fontId="1" fillId="5" borderId="0" xfId="0" applyFont="1" applyFill="1" applyBorder="1" applyAlignment="1">
      <alignment wrapText="1"/>
    </xf>
    <xf numFmtId="0" fontId="5" fillId="2" borderId="0" xfId="3" applyFont="1" applyFill="1" applyBorder="1" applyAlignment="1">
      <alignment horizontal="center" wrapText="1"/>
    </xf>
    <xf numFmtId="0" fontId="5" fillId="3" borderId="0" xfId="3" applyFont="1" applyFill="1" applyBorder="1" applyAlignment="1">
      <alignment horizontal="center" wrapText="1"/>
    </xf>
    <xf numFmtId="10" fontId="3" fillId="3" borderId="0" xfId="0" applyNumberFormat="1" applyFont="1" applyFill="1" applyBorder="1" applyAlignment="1">
      <alignment horizontal="center" wrapText="1"/>
    </xf>
    <xf numFmtId="1" fontId="1" fillId="0" borderId="0" xfId="0" applyNumberFormat="1" applyFont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7" fillId="2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wrapText="1"/>
    </xf>
    <xf numFmtId="0" fontId="7" fillId="0" borderId="0" xfId="4" applyFont="1" applyFill="1" applyBorder="1" applyAlignment="1">
      <alignment horizontal="right" wrapText="1"/>
    </xf>
    <xf numFmtId="0" fontId="7" fillId="2" borderId="0" xfId="4" applyFont="1" applyFill="1" applyBorder="1" applyAlignment="1">
      <alignment horizontal="center"/>
    </xf>
    <xf numFmtId="0" fontId="7" fillId="0" borderId="0" xfId="1" applyFont="1" applyFill="1" applyBorder="1" applyAlignment="1">
      <alignment wrapText="1"/>
    </xf>
    <xf numFmtId="0" fontId="7" fillId="4" borderId="0" xfId="1" applyFont="1" applyFill="1" applyBorder="1" applyAlignment="1">
      <alignment horizontal="left" wrapText="1"/>
    </xf>
    <xf numFmtId="0" fontId="7" fillId="0" borderId="0" xfId="3" applyFont="1" applyFill="1" applyBorder="1" applyAlignment="1">
      <alignment wrapText="1"/>
    </xf>
    <xf numFmtId="0" fontId="7" fillId="0" borderId="0" xfId="1" applyNumberFormat="1" applyFont="1" applyFill="1" applyBorder="1" applyAlignment="1">
      <alignment wrapText="1"/>
    </xf>
    <xf numFmtId="0" fontId="7" fillId="0" borderId="0" xfId="2" applyFont="1" applyFill="1" applyBorder="1" applyAlignment="1">
      <alignment wrapText="1"/>
    </xf>
    <xf numFmtId="0" fontId="5" fillId="2" borderId="0" xfId="5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wrapText="1"/>
    </xf>
    <xf numFmtId="0" fontId="7" fillId="0" borderId="0" xfId="5" applyFont="1" applyFill="1" applyBorder="1" applyAlignment="1">
      <alignment horizontal="right" wrapText="1"/>
    </xf>
    <xf numFmtId="0" fontId="5" fillId="2" borderId="0" xfId="2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7" fillId="0" borderId="0" xfId="21" applyFont="1" applyFill="1" applyBorder="1" applyAlignment="1">
      <alignment wrapText="1"/>
    </xf>
    <xf numFmtId="0" fontId="7" fillId="0" borderId="0" xfId="21" applyFont="1" applyFill="1" applyBorder="1" applyAlignment="1">
      <alignment horizontal="right" wrapText="1"/>
    </xf>
    <xf numFmtId="0" fontId="5" fillId="2" borderId="0" xfId="6" applyFont="1" applyFill="1" applyBorder="1" applyAlignment="1">
      <alignment horizontal="center" wrapText="1"/>
    </xf>
    <xf numFmtId="0" fontId="7" fillId="0" borderId="0" xfId="6" applyFont="1" applyFill="1" applyBorder="1" applyAlignment="1">
      <alignment wrapText="1"/>
    </xf>
    <xf numFmtId="0" fontId="7" fillId="0" borderId="0" xfId="6" applyFont="1" applyFill="1" applyBorder="1" applyAlignment="1">
      <alignment horizontal="right" wrapText="1"/>
    </xf>
    <xf numFmtId="0" fontId="5" fillId="2" borderId="0" xfId="7" applyFont="1" applyFill="1" applyBorder="1" applyAlignment="1">
      <alignment horizontal="center" wrapText="1"/>
    </xf>
    <xf numFmtId="0" fontId="7" fillId="0" borderId="0" xfId="7" applyFont="1" applyFill="1" applyBorder="1" applyAlignment="1">
      <alignment wrapText="1"/>
    </xf>
    <xf numFmtId="0" fontId="7" fillId="0" borderId="0" xfId="7" applyFont="1" applyFill="1" applyBorder="1" applyAlignment="1">
      <alignment horizontal="right" wrapText="1"/>
    </xf>
    <xf numFmtId="0" fontId="5" fillId="2" borderId="0" xfId="8" applyFont="1" applyFill="1" applyBorder="1" applyAlignment="1">
      <alignment horizontal="center" wrapText="1"/>
    </xf>
    <xf numFmtId="0" fontId="7" fillId="0" borderId="0" xfId="8" applyFont="1" applyFill="1" applyBorder="1" applyAlignment="1">
      <alignment wrapText="1"/>
    </xf>
    <xf numFmtId="0" fontId="7" fillId="0" borderId="0" xfId="8" applyFont="1" applyFill="1" applyBorder="1" applyAlignment="1">
      <alignment horizontal="right" wrapText="1"/>
    </xf>
    <xf numFmtId="0" fontId="5" fillId="2" borderId="0" xfId="9" applyFont="1" applyFill="1" applyBorder="1" applyAlignment="1">
      <alignment horizontal="center" wrapText="1"/>
    </xf>
    <xf numFmtId="0" fontId="7" fillId="0" borderId="0" xfId="9" applyFont="1" applyFill="1" applyBorder="1" applyAlignment="1">
      <alignment wrapText="1"/>
    </xf>
    <xf numFmtId="0" fontId="7" fillId="0" borderId="0" xfId="9" applyFont="1" applyFill="1" applyBorder="1" applyAlignment="1">
      <alignment horizontal="right" wrapText="1"/>
    </xf>
    <xf numFmtId="0" fontId="5" fillId="6" borderId="0" xfId="7" applyFont="1" applyFill="1" applyBorder="1" applyAlignment="1">
      <alignment horizontal="center" wrapText="1"/>
    </xf>
    <xf numFmtId="0" fontId="5" fillId="2" borderId="0" xfId="10" applyFont="1" applyFill="1" applyBorder="1" applyAlignment="1">
      <alignment wrapText="1"/>
    </xf>
    <xf numFmtId="0" fontId="5" fillId="2" borderId="0" xfId="10" applyFont="1" applyFill="1" applyBorder="1" applyAlignment="1">
      <alignment horizontal="center" wrapText="1"/>
    </xf>
    <xf numFmtId="0" fontId="7" fillId="0" borderId="0" xfId="10" applyFont="1" applyFill="1" applyBorder="1" applyAlignment="1">
      <alignment wrapText="1"/>
    </xf>
    <xf numFmtId="0" fontId="7" fillId="0" borderId="0" xfId="10" applyFont="1" applyFill="1" applyBorder="1" applyAlignment="1">
      <alignment horizontal="right" wrapText="1"/>
    </xf>
    <xf numFmtId="0" fontId="5" fillId="2" borderId="0" xfId="11" applyFont="1" applyFill="1" applyBorder="1" applyAlignment="1">
      <alignment horizontal="center" wrapText="1"/>
    </xf>
    <xf numFmtId="0" fontId="7" fillId="0" borderId="0" xfId="11" applyFont="1" applyFill="1" applyBorder="1" applyAlignment="1">
      <alignment wrapText="1"/>
    </xf>
    <xf numFmtId="0" fontId="7" fillId="0" borderId="0" xfId="11" applyFont="1" applyFill="1" applyBorder="1" applyAlignment="1">
      <alignment horizontal="right" wrapText="1"/>
    </xf>
    <xf numFmtId="0" fontId="5" fillId="2" borderId="0" xfId="12" applyFont="1" applyFill="1" applyBorder="1" applyAlignment="1">
      <alignment horizontal="center" wrapText="1"/>
    </xf>
    <xf numFmtId="0" fontId="7" fillId="0" borderId="0" xfId="12" applyFont="1" applyFill="1" applyBorder="1" applyAlignment="1">
      <alignment wrapText="1"/>
    </xf>
    <xf numFmtId="0" fontId="7" fillId="0" borderId="0" xfId="12" applyFont="1" applyFill="1" applyBorder="1" applyAlignment="1">
      <alignment horizontal="right" wrapText="1"/>
    </xf>
    <xf numFmtId="0" fontId="5" fillId="2" borderId="0" xfId="13" applyFont="1" applyFill="1" applyBorder="1" applyAlignment="1">
      <alignment horizontal="center" wrapText="1"/>
    </xf>
    <xf numFmtId="0" fontId="7" fillId="0" borderId="0" xfId="13" applyFont="1" applyFill="1" applyBorder="1" applyAlignment="1">
      <alignment wrapText="1"/>
    </xf>
    <xf numFmtId="0" fontId="7" fillId="0" borderId="0" xfId="13" applyFont="1" applyFill="1" applyBorder="1" applyAlignment="1">
      <alignment horizontal="right" wrapText="1"/>
    </xf>
    <xf numFmtId="0" fontId="5" fillId="2" borderId="0" xfId="14" applyFont="1" applyFill="1" applyBorder="1" applyAlignment="1">
      <alignment horizontal="center" wrapText="1"/>
    </xf>
    <xf numFmtId="0" fontId="7" fillId="0" borderId="0" xfId="14" applyFont="1" applyFill="1" applyBorder="1" applyAlignment="1">
      <alignment wrapText="1"/>
    </xf>
    <xf numFmtId="0" fontId="7" fillId="0" borderId="0" xfId="14" applyFont="1" applyFill="1" applyBorder="1" applyAlignment="1">
      <alignment horizontal="right" wrapText="1"/>
    </xf>
    <xf numFmtId="0" fontId="5" fillId="6" borderId="0" xfId="15" applyFont="1" applyFill="1" applyBorder="1" applyAlignment="1">
      <alignment horizontal="center" wrapText="1"/>
    </xf>
    <xf numFmtId="0" fontId="7" fillId="4" borderId="0" xfId="15" applyFont="1" applyFill="1" applyBorder="1" applyAlignment="1">
      <alignment horizontal="left" wrapText="1"/>
    </xf>
    <xf numFmtId="0" fontId="7" fillId="4" borderId="0" xfId="15" applyFont="1" applyFill="1" applyBorder="1" applyAlignment="1">
      <alignment horizontal="right" wrapText="1"/>
    </xf>
    <xf numFmtId="0" fontId="7" fillId="4" borderId="0" xfId="15" applyFont="1" applyFill="1" applyBorder="1" applyAlignment="1">
      <alignment horizontal="center" wrapText="1"/>
    </xf>
    <xf numFmtId="10" fontId="1" fillId="5" borderId="0" xfId="0" applyNumberFormat="1" applyFont="1" applyFill="1" applyBorder="1" applyAlignment="1">
      <alignment wrapText="1"/>
    </xf>
    <xf numFmtId="0" fontId="7" fillId="0" borderId="0" xfId="15" applyFont="1" applyFill="1" applyBorder="1" applyAlignment="1">
      <alignment wrapText="1"/>
    </xf>
    <xf numFmtId="0" fontId="7" fillId="0" borderId="0" xfId="15" applyFont="1" applyFill="1" applyBorder="1" applyAlignment="1">
      <alignment horizontal="right" wrapText="1"/>
    </xf>
    <xf numFmtId="0" fontId="5" fillId="2" borderId="0" xfId="16" applyFont="1" applyFill="1" applyBorder="1" applyAlignment="1">
      <alignment horizontal="center" wrapText="1"/>
    </xf>
    <xf numFmtId="0" fontId="7" fillId="0" borderId="0" xfId="16" applyFont="1" applyFill="1" applyBorder="1" applyAlignment="1">
      <alignment wrapText="1"/>
    </xf>
    <xf numFmtId="0" fontId="7" fillId="0" borderId="0" xfId="16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5" fillId="2" borderId="0" xfId="17" applyFont="1" applyFill="1" applyBorder="1" applyAlignment="1">
      <alignment horizontal="center" wrapText="1"/>
    </xf>
    <xf numFmtId="0" fontId="7" fillId="0" borderId="0" xfId="17" applyFont="1" applyFill="1" applyBorder="1" applyAlignment="1">
      <alignment wrapText="1"/>
    </xf>
    <xf numFmtId="0" fontId="7" fillId="0" borderId="0" xfId="17" applyFont="1" applyFill="1" applyBorder="1" applyAlignment="1">
      <alignment horizontal="right" wrapText="1"/>
    </xf>
    <xf numFmtId="0" fontId="5" fillId="2" borderId="0" xfId="18" applyFont="1" applyFill="1" applyBorder="1" applyAlignment="1">
      <alignment horizontal="center" wrapText="1"/>
    </xf>
    <xf numFmtId="0" fontId="7" fillId="0" borderId="0" xfId="18" applyFont="1" applyFill="1" applyBorder="1" applyAlignment="1">
      <alignment wrapText="1"/>
    </xf>
    <xf numFmtId="0" fontId="7" fillId="0" borderId="0" xfId="18" applyFont="1" applyFill="1" applyBorder="1" applyAlignment="1">
      <alignment horizontal="right" wrapText="1"/>
    </xf>
    <xf numFmtId="0" fontId="5" fillId="2" borderId="0" xfId="5" applyFont="1" applyFill="1" applyBorder="1" applyAlignment="1">
      <alignment horizontal="center"/>
    </xf>
    <xf numFmtId="0" fontId="3" fillId="3" borderId="0" xfId="0" applyFont="1" applyFill="1" applyBorder="1"/>
    <xf numFmtId="0" fontId="1" fillId="0" borderId="0" xfId="0" applyFont="1" applyBorder="1"/>
    <xf numFmtId="0" fontId="3" fillId="3" borderId="0" xfId="0" applyFont="1" applyFill="1" applyBorder="1" applyAlignment="1">
      <alignment horizontal="center" vertical="center"/>
    </xf>
    <xf numFmtId="10" fontId="1" fillId="0" borderId="0" xfId="0" applyNumberFormat="1" applyFont="1" applyBorder="1"/>
    <xf numFmtId="0" fontId="5" fillId="2" borderId="0" xfId="6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2" borderId="0" xfId="7" applyFont="1" applyFill="1" applyBorder="1" applyAlignment="1">
      <alignment horizontal="center"/>
    </xf>
    <xf numFmtId="0" fontId="5" fillId="2" borderId="0" xfId="8" applyFont="1" applyFill="1" applyBorder="1" applyAlignment="1">
      <alignment horizontal="center"/>
    </xf>
    <xf numFmtId="0" fontId="5" fillId="2" borderId="0" xfId="9" applyFont="1" applyFill="1" applyBorder="1" applyAlignment="1">
      <alignment horizontal="center"/>
    </xf>
    <xf numFmtId="0" fontId="5" fillId="2" borderId="0" xfId="19" applyFont="1" applyFill="1" applyBorder="1" applyAlignment="1">
      <alignment horizontal="center" wrapText="1"/>
    </xf>
    <xf numFmtId="0" fontId="7" fillId="0" borderId="0" xfId="19" applyFont="1" applyFill="1" applyBorder="1" applyAlignment="1">
      <alignment wrapText="1"/>
    </xf>
    <xf numFmtId="0" fontId="7" fillId="0" borderId="0" xfId="19" applyFont="1" applyFill="1" applyBorder="1" applyAlignment="1">
      <alignment horizontal="right" wrapText="1"/>
    </xf>
    <xf numFmtId="0" fontId="5" fillId="2" borderId="0" xfId="22" applyFont="1" applyFill="1" applyBorder="1" applyAlignment="1">
      <alignment horizontal="center" wrapText="1"/>
    </xf>
    <xf numFmtId="0" fontId="7" fillId="0" borderId="0" xfId="22" applyFont="1" applyFill="1" applyBorder="1" applyAlignment="1">
      <alignment wrapText="1"/>
    </xf>
    <xf numFmtId="0" fontId="7" fillId="0" borderId="0" xfId="22" applyFont="1" applyFill="1" applyBorder="1" applyAlignment="1">
      <alignment horizontal="right" wrapText="1"/>
    </xf>
    <xf numFmtId="0" fontId="8" fillId="0" borderId="0" xfId="0" applyFont="1" applyBorder="1"/>
    <xf numFmtId="0" fontId="7" fillId="4" borderId="0" xfId="15" applyFont="1" applyFill="1" applyBorder="1" applyAlignment="1">
      <alignment wrapText="1"/>
    </xf>
    <xf numFmtId="0" fontId="1" fillId="5" borderId="0" xfId="0" applyFont="1" applyFill="1" applyBorder="1" applyAlignment="1"/>
    <xf numFmtId="0" fontId="7" fillId="0" borderId="0" xfId="20" applyFont="1" applyFill="1" applyBorder="1" applyAlignment="1">
      <alignment wrapText="1"/>
    </xf>
    <xf numFmtId="0" fontId="7" fillId="0" borderId="0" xfId="20" applyFont="1" applyFill="1" applyBorder="1" applyAlignment="1">
      <alignment horizontal="right" wrapText="1"/>
    </xf>
    <xf numFmtId="0" fontId="14" fillId="0" borderId="0" xfId="23" applyFont="1" applyFill="1" applyBorder="1" applyAlignment="1">
      <alignment wrapText="1"/>
    </xf>
    <xf numFmtId="0" fontId="14" fillId="0" borderId="0" xfId="23" applyFont="1" applyFill="1" applyBorder="1" applyAlignment="1">
      <alignment horizontal="right" wrapText="1"/>
    </xf>
    <xf numFmtId="0" fontId="7" fillId="2" borderId="0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 wrapText="1"/>
    </xf>
    <xf numFmtId="0" fontId="5" fillId="4" borderId="0" xfId="15" applyFont="1" applyFill="1" applyBorder="1" applyAlignment="1">
      <alignment horizontal="right" wrapText="1"/>
    </xf>
    <xf numFmtId="10" fontId="7" fillId="4" borderId="0" xfId="15" applyNumberFormat="1" applyFont="1" applyFill="1" applyBorder="1" applyAlignment="1">
      <alignment horizontal="right" wrapText="1"/>
    </xf>
    <xf numFmtId="0" fontId="1" fillId="5" borderId="0" xfId="0" applyFont="1" applyFill="1" applyBorder="1"/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10" fontId="11" fillId="0" borderId="0" xfId="0" applyNumberFormat="1" applyFont="1" applyBorder="1" applyAlignment="1">
      <alignment wrapText="1"/>
    </xf>
    <xf numFmtId="0" fontId="5" fillId="2" borderId="0" xfId="21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7" fillId="0" borderId="0" xfId="12" applyFont="1" applyFill="1" applyBorder="1" applyAlignment="1">
      <alignment horizontal="center" wrapText="1"/>
    </xf>
    <xf numFmtId="0" fontId="7" fillId="0" borderId="0" xfId="19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5" fillId="4" borderId="0" xfId="15" applyFont="1" applyFill="1" applyBorder="1" applyAlignment="1">
      <alignment horizontal="left" wrapText="1"/>
    </xf>
    <xf numFmtId="0" fontId="5" fillId="4" borderId="0" xfId="15" applyFont="1" applyFill="1" applyBorder="1" applyAlignment="1">
      <alignment horizontal="center" wrapText="1"/>
    </xf>
    <xf numFmtId="10" fontId="5" fillId="4" borderId="0" xfId="15" applyNumberFormat="1" applyFont="1" applyFill="1" applyBorder="1" applyAlignment="1">
      <alignment horizontal="center" wrapText="1"/>
    </xf>
    <xf numFmtId="0" fontId="11" fillId="5" borderId="0" xfId="0" applyFont="1" applyFill="1" applyBorder="1" applyAlignment="1">
      <alignment wrapText="1"/>
    </xf>
    <xf numFmtId="10" fontId="11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9" fontId="1" fillId="0" borderId="0" xfId="0" applyNumberFormat="1" applyFont="1" applyBorder="1"/>
    <xf numFmtId="10" fontId="11" fillId="0" borderId="0" xfId="0" applyNumberFormat="1" applyFont="1" applyBorder="1"/>
    <xf numFmtId="9" fontId="1" fillId="0" borderId="0" xfId="0" applyNumberFormat="1" applyFont="1" applyBorder="1" applyAlignment="1">
      <alignment wrapText="1"/>
    </xf>
    <xf numFmtId="0" fontId="10" fillId="3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/>
    <xf numFmtId="10" fontId="7" fillId="4" borderId="0" xfId="15" applyNumberFormat="1" applyFont="1" applyFill="1" applyBorder="1" applyAlignment="1">
      <alignment wrapText="1"/>
    </xf>
    <xf numFmtId="0" fontId="11" fillId="5" borderId="0" xfId="0" applyFont="1" applyFill="1" applyBorder="1" applyAlignment="1">
      <alignment horizontal="left"/>
    </xf>
    <xf numFmtId="10" fontId="11" fillId="0" borderId="0" xfId="0" applyNumberFormat="1" applyFont="1" applyBorder="1" applyAlignment="1"/>
    <xf numFmtId="0" fontId="5" fillId="6" borderId="0" xfId="15" applyFont="1" applyFill="1" applyBorder="1" applyAlignment="1">
      <alignment horizontal="right" wrapText="1"/>
    </xf>
    <xf numFmtId="0" fontId="11" fillId="5" borderId="0" xfId="0" applyFont="1" applyFill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7" fillId="0" borderId="0" xfId="24" applyFont="1" applyFill="1" applyBorder="1" applyAlignment="1">
      <alignment wrapText="1"/>
    </xf>
    <xf numFmtId="0" fontId="7" fillId="0" borderId="0" xfId="24" applyFont="1" applyFill="1" applyBorder="1" applyAlignment="1">
      <alignment horizontal="right" wrapText="1"/>
    </xf>
    <xf numFmtId="0" fontId="1" fillId="5" borderId="0" xfId="0" applyFont="1" applyFill="1" applyBorder="1" applyAlignment="1">
      <alignment horizontal="left"/>
    </xf>
    <xf numFmtId="0" fontId="16" fillId="0" borderId="0" xfId="25" applyFont="1" applyFill="1" applyBorder="1" applyAlignment="1">
      <alignment wrapText="1"/>
    </xf>
    <xf numFmtId="0" fontId="16" fillId="0" borderId="0" xfId="25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</cellXfs>
  <cellStyles count="26">
    <cellStyle name="Normal" xfId="0" builtinId="0"/>
    <cellStyle name="Normal_BOS" xfId="3"/>
    <cellStyle name="Normal_Cochise" xfId="23"/>
    <cellStyle name="Normal_County City" xfId="21"/>
    <cellStyle name="Normal_DV" xfId="19"/>
    <cellStyle name="Normal_Income" xfId="22"/>
    <cellStyle name="Normal_Navajo" xfId="24"/>
    <cellStyle name="Normal_PIT Report" xfId="1"/>
    <cellStyle name="Normal_PIT Report_1" xfId="2"/>
    <cellStyle name="Normal_Race Eth_1" xfId="20"/>
    <cellStyle name="Normal_Sheet1" xfId="5"/>
    <cellStyle name="Normal_Sheet10" xfId="14"/>
    <cellStyle name="Normal_Sheet11" xfId="15"/>
    <cellStyle name="Normal_Sheet12" xfId="16"/>
    <cellStyle name="Normal_Sheet13" xfId="17"/>
    <cellStyle name="Normal_Sheet2" xfId="6"/>
    <cellStyle name="Normal_Sheet2_1" xfId="18"/>
    <cellStyle name="Normal_Sheet3" xfId="7"/>
    <cellStyle name="Normal_Sheet4" xfId="8"/>
    <cellStyle name="Normal_Sheet5" xfId="9"/>
    <cellStyle name="Normal_Sheet6" xfId="10"/>
    <cellStyle name="Normal_Sheet7" xfId="11"/>
    <cellStyle name="Normal_Sheet8" xfId="12"/>
    <cellStyle name="Normal_Sheet9" xfId="13"/>
    <cellStyle name="Normal_Yavapai" xfId="25"/>
    <cellStyle name="Normal_Youth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3"/>
  <sheetViews>
    <sheetView tabSelected="1" zoomScale="130" zoomScaleNormal="130" zoomScaleSheetLayoutView="130" workbookViewId="0">
      <selection activeCell="E10" sqref="E10"/>
    </sheetView>
  </sheetViews>
  <sheetFormatPr defaultColWidth="8.85546875" defaultRowHeight="12" x14ac:dyDescent="0.2"/>
  <cols>
    <col min="1" max="1" width="21.7109375" style="1" customWidth="1"/>
    <col min="2" max="2" width="14.5703125" style="1" customWidth="1"/>
    <col min="3" max="3" width="15.140625" style="1" customWidth="1"/>
    <col min="4" max="4" width="15.28515625" style="1" customWidth="1"/>
    <col min="5" max="5" width="16.28515625" style="1" customWidth="1"/>
    <col min="6" max="6" width="12.85546875" style="1" customWidth="1"/>
    <col min="7" max="7" width="13.42578125" style="1" customWidth="1"/>
    <col min="8" max="8" width="8.5703125" style="1" customWidth="1"/>
    <col min="9" max="16384" width="8.85546875" style="1"/>
  </cols>
  <sheetData>
    <row r="1" spans="1:7" ht="24" x14ac:dyDescent="0.2">
      <c r="A1" s="5" t="s">
        <v>0</v>
      </c>
    </row>
    <row r="2" spans="1:7" ht="24" x14ac:dyDescent="0.2">
      <c r="A2" s="1" t="s">
        <v>1</v>
      </c>
      <c r="B2" s="1">
        <v>902</v>
      </c>
    </row>
    <row r="3" spans="1:7" x14ac:dyDescent="0.2">
      <c r="A3" s="1" t="s">
        <v>2</v>
      </c>
      <c r="B3" s="1">
        <v>362</v>
      </c>
    </row>
    <row r="4" spans="1:7" x14ac:dyDescent="0.2">
      <c r="A4" s="1" t="s">
        <v>3</v>
      </c>
      <c r="B4" s="1">
        <f>SUM(B2:B3)</f>
        <v>1264</v>
      </c>
    </row>
    <row r="6" spans="1:7" ht="36" x14ac:dyDescent="0.2">
      <c r="A6" s="1" t="s">
        <v>4</v>
      </c>
      <c r="B6" s="1">
        <f>9+26</f>
        <v>35</v>
      </c>
    </row>
    <row r="8" spans="1:7" ht="48" x14ac:dyDescent="0.2">
      <c r="A8" s="3" t="s">
        <v>5</v>
      </c>
    </row>
    <row r="9" spans="1:7" x14ac:dyDescent="0.2">
      <c r="A9" s="5" t="s">
        <v>7</v>
      </c>
      <c r="B9" s="2" t="s">
        <v>37</v>
      </c>
    </row>
    <row r="10" spans="1:7" x14ac:dyDescent="0.2">
      <c r="A10" s="1" t="s">
        <v>8</v>
      </c>
      <c r="B10" s="1">
        <v>362</v>
      </c>
    </row>
    <row r="11" spans="1:7" x14ac:dyDescent="0.2">
      <c r="A11" s="1" t="s">
        <v>9</v>
      </c>
      <c r="B11" s="1">
        <v>132</v>
      </c>
    </row>
    <row r="12" spans="1:7" x14ac:dyDescent="0.2">
      <c r="B12" s="1">
        <f>SUM(B10:B11)</f>
        <v>494</v>
      </c>
    </row>
    <row r="13" spans="1:7" x14ac:dyDescent="0.2">
      <c r="A13" s="1" t="s">
        <v>10</v>
      </c>
      <c r="B13" s="1">
        <v>61</v>
      </c>
    </row>
    <row r="15" spans="1:7" x14ac:dyDescent="0.2">
      <c r="G15" s="3"/>
    </row>
    <row r="16" spans="1:7" x14ac:dyDescent="0.2">
      <c r="A16" s="4" t="s">
        <v>11</v>
      </c>
      <c r="B16" s="4" t="s">
        <v>7</v>
      </c>
      <c r="C16" s="5" t="s">
        <v>15</v>
      </c>
    </row>
    <row r="17" spans="1:3" x14ac:dyDescent="0.2">
      <c r="A17" s="29" t="s">
        <v>17</v>
      </c>
      <c r="B17" s="1">
        <v>0</v>
      </c>
      <c r="C17" s="6">
        <f t="shared" ref="C17:C26" si="0">B17/362</f>
        <v>0</v>
      </c>
    </row>
    <row r="18" spans="1:3" x14ac:dyDescent="0.2">
      <c r="A18" s="29" t="s">
        <v>18</v>
      </c>
      <c r="B18" s="7">
        <v>19</v>
      </c>
      <c r="C18" s="6">
        <f t="shared" si="0"/>
        <v>5.2486187845303865E-2</v>
      </c>
    </row>
    <row r="19" spans="1:3" x14ac:dyDescent="0.2">
      <c r="A19" s="29" t="s">
        <v>19</v>
      </c>
      <c r="B19" s="7">
        <v>76</v>
      </c>
      <c r="C19" s="6">
        <f t="shared" si="0"/>
        <v>0.20994475138121546</v>
      </c>
    </row>
    <row r="20" spans="1:3" x14ac:dyDescent="0.2">
      <c r="A20" s="29" t="s">
        <v>20</v>
      </c>
      <c r="B20" s="7">
        <v>1</v>
      </c>
      <c r="C20" s="6">
        <f t="shared" si="0"/>
        <v>2.7624309392265192E-3</v>
      </c>
    </row>
    <row r="21" spans="1:3" x14ac:dyDescent="0.2">
      <c r="A21" s="29" t="s">
        <v>21</v>
      </c>
      <c r="B21" s="7">
        <v>3</v>
      </c>
      <c r="C21" s="6">
        <f t="shared" si="0"/>
        <v>8.2872928176795577E-3</v>
      </c>
    </row>
    <row r="22" spans="1:3" x14ac:dyDescent="0.2">
      <c r="A22" s="29" t="s">
        <v>22</v>
      </c>
      <c r="B22" s="1">
        <v>0</v>
      </c>
      <c r="C22" s="6">
        <f t="shared" si="0"/>
        <v>0</v>
      </c>
    </row>
    <row r="23" spans="1:3" x14ac:dyDescent="0.2">
      <c r="A23" s="29" t="s">
        <v>23</v>
      </c>
      <c r="B23" s="7">
        <v>4</v>
      </c>
      <c r="C23" s="6">
        <f t="shared" si="0"/>
        <v>1.1049723756906077E-2</v>
      </c>
    </row>
    <row r="24" spans="1:3" x14ac:dyDescent="0.2">
      <c r="A24" s="29" t="s">
        <v>24</v>
      </c>
      <c r="B24" s="7">
        <v>35</v>
      </c>
      <c r="C24" s="6">
        <f t="shared" si="0"/>
        <v>9.668508287292818E-2</v>
      </c>
    </row>
    <row r="25" spans="1:3" x14ac:dyDescent="0.2">
      <c r="A25" s="29" t="s">
        <v>25</v>
      </c>
      <c r="B25" s="7">
        <v>13</v>
      </c>
      <c r="C25" s="6">
        <f t="shared" si="0"/>
        <v>3.591160220994475E-2</v>
      </c>
    </row>
    <row r="26" spans="1:3" x14ac:dyDescent="0.2">
      <c r="A26" s="29" t="s">
        <v>26</v>
      </c>
      <c r="B26" s="7">
        <v>41</v>
      </c>
      <c r="C26" s="6">
        <f t="shared" si="0"/>
        <v>0.1132596685082873</v>
      </c>
    </row>
    <row r="27" spans="1:3" x14ac:dyDescent="0.2">
      <c r="A27" s="29" t="s">
        <v>27</v>
      </c>
      <c r="B27" s="7">
        <v>0</v>
      </c>
      <c r="C27" s="6">
        <v>0</v>
      </c>
    </row>
    <row r="28" spans="1:3" x14ac:dyDescent="0.2">
      <c r="A28" s="29" t="s">
        <v>28</v>
      </c>
      <c r="B28" s="7">
        <v>143</v>
      </c>
      <c r="C28" s="6">
        <f>B28/362</f>
        <v>0.39502762430939226</v>
      </c>
    </row>
    <row r="29" spans="1:3" x14ac:dyDescent="0.2">
      <c r="A29" s="29" t="s">
        <v>29</v>
      </c>
      <c r="B29" s="7">
        <v>27</v>
      </c>
      <c r="C29" s="6">
        <f>B29/362</f>
        <v>7.4585635359116026E-2</v>
      </c>
    </row>
    <row r="30" spans="1:3" x14ac:dyDescent="0.2">
      <c r="B30" s="1">
        <f>SUM(B17:B29)</f>
        <v>362</v>
      </c>
      <c r="C30" s="6">
        <f>SUM(C17:C29)</f>
        <v>1.0000000000000002</v>
      </c>
    </row>
    <row r="33" spans="1:5" x14ac:dyDescent="0.2">
      <c r="A33" s="5" t="s">
        <v>6</v>
      </c>
      <c r="B33" s="2" t="s">
        <v>37</v>
      </c>
    </row>
    <row r="34" spans="1:5" x14ac:dyDescent="0.2">
      <c r="A34" s="1" t="s">
        <v>8</v>
      </c>
      <c r="B34" s="1">
        <v>902</v>
      </c>
    </row>
    <row r="35" spans="1:5" x14ac:dyDescent="0.2">
      <c r="A35" s="1" t="s">
        <v>9</v>
      </c>
      <c r="B35" s="1">
        <v>183</v>
      </c>
    </row>
    <row r="36" spans="1:5" x14ac:dyDescent="0.2">
      <c r="A36" s="1" t="s">
        <v>3</v>
      </c>
      <c r="B36" s="1">
        <f>SUM(B34:B35)</f>
        <v>1085</v>
      </c>
    </row>
    <row r="38" spans="1:5" x14ac:dyDescent="0.2">
      <c r="A38" s="1" t="s">
        <v>10</v>
      </c>
      <c r="B38" s="1">
        <v>114</v>
      </c>
    </row>
    <row r="40" spans="1:5" ht="24" x14ac:dyDescent="0.2">
      <c r="A40" s="4" t="s">
        <v>11</v>
      </c>
      <c r="B40" s="4" t="s">
        <v>12</v>
      </c>
      <c r="C40" s="8" t="s">
        <v>13</v>
      </c>
      <c r="D40" s="9" t="s">
        <v>173</v>
      </c>
      <c r="E40" s="5" t="s">
        <v>14</v>
      </c>
    </row>
    <row r="41" spans="1:5" x14ac:dyDescent="0.2">
      <c r="A41" s="29" t="s">
        <v>17</v>
      </c>
      <c r="B41" s="7">
        <v>5</v>
      </c>
      <c r="C41" s="7">
        <v>2</v>
      </c>
      <c r="D41" s="1">
        <f t="shared" ref="D41:D53" si="1">SUM(B41:C41)</f>
        <v>7</v>
      </c>
      <c r="E41" s="6">
        <f t="shared" ref="E41:E53" si="2">D41/1085</f>
        <v>6.4516129032258064E-3</v>
      </c>
    </row>
    <row r="42" spans="1:5" x14ac:dyDescent="0.2">
      <c r="A42" s="29" t="s">
        <v>18</v>
      </c>
      <c r="B42" s="7">
        <v>78</v>
      </c>
      <c r="C42" s="7">
        <v>5</v>
      </c>
      <c r="D42" s="1">
        <f t="shared" si="1"/>
        <v>83</v>
      </c>
      <c r="E42" s="6">
        <f t="shared" si="2"/>
        <v>7.6497695852534561E-2</v>
      </c>
    </row>
    <row r="43" spans="1:5" x14ac:dyDescent="0.2">
      <c r="A43" s="29" t="s">
        <v>19</v>
      </c>
      <c r="B43" s="7">
        <v>86</v>
      </c>
      <c r="C43" s="7">
        <v>32</v>
      </c>
      <c r="D43" s="1">
        <f t="shared" si="1"/>
        <v>118</v>
      </c>
      <c r="E43" s="6">
        <f t="shared" si="2"/>
        <v>0.10875576036866359</v>
      </c>
    </row>
    <row r="44" spans="1:5" x14ac:dyDescent="0.2">
      <c r="A44" s="29" t="s">
        <v>20</v>
      </c>
      <c r="B44" s="7">
        <v>30</v>
      </c>
      <c r="C44" s="7">
        <v>17</v>
      </c>
      <c r="D44" s="1">
        <f t="shared" si="1"/>
        <v>47</v>
      </c>
      <c r="E44" s="6">
        <f t="shared" si="2"/>
        <v>4.3317972350230417E-2</v>
      </c>
    </row>
    <row r="45" spans="1:5" x14ac:dyDescent="0.2">
      <c r="A45" s="29" t="s">
        <v>21</v>
      </c>
      <c r="B45" s="7">
        <v>10</v>
      </c>
      <c r="C45" s="7">
        <v>3</v>
      </c>
      <c r="D45" s="1">
        <f t="shared" si="1"/>
        <v>13</v>
      </c>
      <c r="E45" s="6">
        <f t="shared" si="2"/>
        <v>1.1981566820276499E-2</v>
      </c>
    </row>
    <row r="46" spans="1:5" x14ac:dyDescent="0.2">
      <c r="A46" s="29" t="s">
        <v>22</v>
      </c>
      <c r="B46" s="7">
        <v>1</v>
      </c>
      <c r="C46" s="7">
        <v>1</v>
      </c>
      <c r="D46" s="1">
        <f t="shared" si="1"/>
        <v>2</v>
      </c>
      <c r="E46" s="6">
        <f t="shared" si="2"/>
        <v>1.8433179723502304E-3</v>
      </c>
    </row>
    <row r="47" spans="1:5" x14ac:dyDescent="0.2">
      <c r="A47" s="29" t="s">
        <v>23</v>
      </c>
      <c r="B47" s="7">
        <v>82</v>
      </c>
      <c r="C47" s="7">
        <v>12</v>
      </c>
      <c r="D47" s="1">
        <f t="shared" si="1"/>
        <v>94</v>
      </c>
      <c r="E47" s="6">
        <f t="shared" si="2"/>
        <v>8.6635944700460835E-2</v>
      </c>
    </row>
    <row r="48" spans="1:5" x14ac:dyDescent="0.2">
      <c r="A48" s="29" t="s">
        <v>24</v>
      </c>
      <c r="B48" s="7">
        <v>280</v>
      </c>
      <c r="C48" s="7">
        <v>40</v>
      </c>
      <c r="D48" s="1">
        <f t="shared" si="1"/>
        <v>320</v>
      </c>
      <c r="E48" s="6">
        <f t="shared" si="2"/>
        <v>0.29493087557603687</v>
      </c>
    </row>
    <row r="49" spans="1:5" x14ac:dyDescent="0.2">
      <c r="A49" s="29" t="s">
        <v>25</v>
      </c>
      <c r="B49" s="7">
        <v>15</v>
      </c>
      <c r="C49" s="7">
        <v>7</v>
      </c>
      <c r="D49" s="1">
        <f t="shared" si="1"/>
        <v>22</v>
      </c>
      <c r="E49" s="6">
        <f t="shared" si="2"/>
        <v>2.0276497695852536E-2</v>
      </c>
    </row>
    <row r="50" spans="1:5" x14ac:dyDescent="0.2">
      <c r="A50" s="29" t="s">
        <v>26</v>
      </c>
      <c r="B50" s="7">
        <v>132</v>
      </c>
      <c r="C50" s="7">
        <v>18</v>
      </c>
      <c r="D50" s="1">
        <f t="shared" si="1"/>
        <v>150</v>
      </c>
      <c r="E50" s="6">
        <f t="shared" si="2"/>
        <v>0.13824884792626729</v>
      </c>
    </row>
    <row r="51" spans="1:5" x14ac:dyDescent="0.2">
      <c r="A51" s="29" t="s">
        <v>27</v>
      </c>
      <c r="B51" s="7">
        <v>0</v>
      </c>
      <c r="C51" s="7">
        <v>0</v>
      </c>
      <c r="D51" s="1">
        <f t="shared" si="1"/>
        <v>0</v>
      </c>
      <c r="E51" s="6">
        <f t="shared" si="2"/>
        <v>0</v>
      </c>
    </row>
    <row r="52" spans="1:5" x14ac:dyDescent="0.2">
      <c r="A52" s="29" t="s">
        <v>28</v>
      </c>
      <c r="B52" s="7">
        <v>115</v>
      </c>
      <c r="C52" s="7">
        <v>31</v>
      </c>
      <c r="D52" s="1">
        <f t="shared" si="1"/>
        <v>146</v>
      </c>
      <c r="E52" s="6">
        <f t="shared" si="2"/>
        <v>0.13456221198156681</v>
      </c>
    </row>
    <row r="53" spans="1:5" x14ac:dyDescent="0.2">
      <c r="A53" s="29" t="s">
        <v>29</v>
      </c>
      <c r="B53" s="7">
        <v>68</v>
      </c>
      <c r="C53" s="7">
        <v>15</v>
      </c>
      <c r="D53" s="1">
        <f t="shared" si="1"/>
        <v>83</v>
      </c>
      <c r="E53" s="6">
        <f t="shared" si="2"/>
        <v>7.6497695852534561E-2</v>
      </c>
    </row>
    <row r="54" spans="1:5" x14ac:dyDescent="0.2">
      <c r="B54" s="1">
        <f>SUM(B41:B53)</f>
        <v>902</v>
      </c>
      <c r="C54" s="1">
        <f>SUM(C41:C53)</f>
        <v>183</v>
      </c>
      <c r="D54" s="1">
        <f>SUM(D41:D53)</f>
        <v>1085</v>
      </c>
      <c r="E54" s="6">
        <f>SUM(E41:E53)</f>
        <v>1</v>
      </c>
    </row>
    <row r="56" spans="1:5" x14ac:dyDescent="0.2">
      <c r="A56" s="4" t="s">
        <v>36</v>
      </c>
      <c r="B56" s="4" t="s">
        <v>37</v>
      </c>
      <c r="C56" s="5" t="s">
        <v>16</v>
      </c>
    </row>
    <row r="57" spans="1:5" x14ac:dyDescent="0.2">
      <c r="A57" s="30" t="s">
        <v>38</v>
      </c>
      <c r="B57" s="10">
        <v>788</v>
      </c>
      <c r="C57" s="6">
        <f>B57/902</f>
        <v>0.87361419068736146</v>
      </c>
    </row>
    <row r="58" spans="1:5" x14ac:dyDescent="0.2">
      <c r="A58" s="29" t="s">
        <v>39</v>
      </c>
      <c r="B58" s="7">
        <v>8</v>
      </c>
      <c r="C58" s="6">
        <f>B58/902</f>
        <v>8.869179600886918E-3</v>
      </c>
    </row>
    <row r="59" spans="1:5" x14ac:dyDescent="0.2">
      <c r="A59" s="29" t="s">
        <v>40</v>
      </c>
      <c r="B59" s="7">
        <v>6</v>
      </c>
      <c r="C59" s="6">
        <f>B59/902</f>
        <v>6.6518847006651885E-3</v>
      </c>
    </row>
    <row r="60" spans="1:5" x14ac:dyDescent="0.2">
      <c r="A60" s="29" t="s">
        <v>41</v>
      </c>
      <c r="B60" s="7">
        <v>67</v>
      </c>
      <c r="C60" s="6">
        <f>B60/902</f>
        <v>7.4279379157427938E-2</v>
      </c>
    </row>
    <row r="61" spans="1:5" ht="24" x14ac:dyDescent="0.2">
      <c r="A61" s="29" t="s">
        <v>42</v>
      </c>
      <c r="B61" s="7">
        <v>33</v>
      </c>
      <c r="C61" s="6">
        <f>B61/902</f>
        <v>3.6585365853658534E-2</v>
      </c>
    </row>
    <row r="62" spans="1:5" x14ac:dyDescent="0.2">
      <c r="A62" s="7" t="s">
        <v>43</v>
      </c>
      <c r="B62" s="7">
        <f>SUM(B57:B61)</f>
        <v>902</v>
      </c>
      <c r="C62" s="6"/>
    </row>
    <row r="63" spans="1:5" x14ac:dyDescent="0.2">
      <c r="A63" s="7" t="s">
        <v>43</v>
      </c>
      <c r="B63" s="7"/>
      <c r="C63" s="6"/>
    </row>
    <row r="65" spans="1:3" x14ac:dyDescent="0.2">
      <c r="A65" s="4" t="s">
        <v>44</v>
      </c>
      <c r="B65" s="4" t="s">
        <v>37</v>
      </c>
      <c r="C65" s="5" t="s">
        <v>16</v>
      </c>
    </row>
    <row r="66" spans="1:3" x14ac:dyDescent="0.2">
      <c r="A66" s="29" t="s">
        <v>45</v>
      </c>
      <c r="B66" s="7">
        <v>44</v>
      </c>
      <c r="C66" s="6">
        <f t="shared" ref="C66:C73" si="3">B66/902</f>
        <v>4.878048780487805E-2</v>
      </c>
    </row>
    <row r="67" spans="1:3" x14ac:dyDescent="0.2">
      <c r="A67" s="29" t="s">
        <v>46</v>
      </c>
      <c r="B67" s="7">
        <v>91</v>
      </c>
      <c r="C67" s="6">
        <f t="shared" si="3"/>
        <v>0.1008869179600887</v>
      </c>
    </row>
    <row r="68" spans="1:3" x14ac:dyDescent="0.2">
      <c r="A68" s="29" t="s">
        <v>47</v>
      </c>
      <c r="B68" s="7">
        <v>403</v>
      </c>
      <c r="C68" s="6">
        <f t="shared" si="3"/>
        <v>0.44678492239467849</v>
      </c>
    </row>
    <row r="69" spans="1:3" x14ac:dyDescent="0.2">
      <c r="A69" s="29" t="s">
        <v>48</v>
      </c>
      <c r="B69" s="7">
        <v>34</v>
      </c>
      <c r="C69" s="6">
        <f t="shared" si="3"/>
        <v>3.7694013303769404E-2</v>
      </c>
    </row>
    <row r="70" spans="1:3" x14ac:dyDescent="0.2">
      <c r="A70" s="29" t="s">
        <v>49</v>
      </c>
      <c r="B70" s="7">
        <v>34</v>
      </c>
      <c r="C70" s="6">
        <f t="shared" si="3"/>
        <v>3.7694013303769404E-2</v>
      </c>
    </row>
    <row r="71" spans="1:3" x14ac:dyDescent="0.2">
      <c r="A71" s="29" t="s">
        <v>50</v>
      </c>
      <c r="B71" s="7">
        <v>12</v>
      </c>
      <c r="C71" s="6">
        <f t="shared" si="3"/>
        <v>1.3303769401330377E-2</v>
      </c>
    </row>
    <row r="72" spans="1:3" x14ac:dyDescent="0.2">
      <c r="A72" s="29" t="s">
        <v>51</v>
      </c>
      <c r="B72" s="7">
        <v>90</v>
      </c>
      <c r="C72" s="6">
        <f t="shared" si="3"/>
        <v>9.9778270509977826E-2</v>
      </c>
    </row>
    <row r="73" spans="1:3" x14ac:dyDescent="0.2">
      <c r="A73" s="29" t="s">
        <v>52</v>
      </c>
      <c r="B73" s="7">
        <v>194</v>
      </c>
      <c r="C73" s="6">
        <f t="shared" si="3"/>
        <v>0.21507760532150777</v>
      </c>
    </row>
    <row r="74" spans="1:3" x14ac:dyDescent="0.2">
      <c r="B74" s="1">
        <f>SUM(B66:B73)</f>
        <v>902</v>
      </c>
      <c r="C74" s="6">
        <f>SUM(C66:C73)</f>
        <v>1</v>
      </c>
    </row>
    <row r="76" spans="1:3" x14ac:dyDescent="0.2">
      <c r="A76" s="4" t="s">
        <v>246</v>
      </c>
      <c r="B76" s="4" t="s">
        <v>37</v>
      </c>
      <c r="C76" s="5" t="s">
        <v>16</v>
      </c>
    </row>
    <row r="77" spans="1:3" x14ac:dyDescent="0.2">
      <c r="A77" s="29" t="s">
        <v>53</v>
      </c>
      <c r="B77" s="7">
        <v>78</v>
      </c>
      <c r="C77" s="6">
        <f t="shared" ref="C77:C83" si="4">B77/902</f>
        <v>8.6474501108647447E-2</v>
      </c>
    </row>
    <row r="78" spans="1:3" x14ac:dyDescent="0.2">
      <c r="A78" s="29" t="s">
        <v>54</v>
      </c>
      <c r="B78" s="7">
        <v>154</v>
      </c>
      <c r="C78" s="6">
        <f t="shared" si="4"/>
        <v>0.17073170731707318</v>
      </c>
    </row>
    <row r="79" spans="1:3" x14ac:dyDescent="0.2">
      <c r="A79" s="29" t="s">
        <v>55</v>
      </c>
      <c r="B79" s="7">
        <v>43</v>
      </c>
      <c r="C79" s="6">
        <f t="shared" si="4"/>
        <v>4.7671840354767181E-2</v>
      </c>
    </row>
    <row r="80" spans="1:3" x14ac:dyDescent="0.2">
      <c r="A80" s="29" t="s">
        <v>56</v>
      </c>
      <c r="B80" s="7">
        <v>417</v>
      </c>
      <c r="C80" s="6">
        <f t="shared" si="4"/>
        <v>0.46230598669623058</v>
      </c>
    </row>
    <row r="81" spans="1:3" x14ac:dyDescent="0.2">
      <c r="A81" s="29" t="s">
        <v>57</v>
      </c>
      <c r="B81" s="7">
        <v>186</v>
      </c>
      <c r="C81" s="6">
        <f t="shared" si="4"/>
        <v>0.20620842572062084</v>
      </c>
    </row>
    <row r="82" spans="1:3" x14ac:dyDescent="0.2">
      <c r="A82" s="29" t="s">
        <v>33</v>
      </c>
      <c r="B82" s="7">
        <v>3</v>
      </c>
      <c r="C82" s="6">
        <f t="shared" si="4"/>
        <v>3.3259423503325942E-3</v>
      </c>
    </row>
    <row r="83" spans="1:3" x14ac:dyDescent="0.2">
      <c r="A83" s="29" t="s">
        <v>58</v>
      </c>
      <c r="B83" s="7">
        <v>21</v>
      </c>
      <c r="C83" s="6">
        <f t="shared" si="4"/>
        <v>2.3281596452328159E-2</v>
      </c>
    </row>
    <row r="84" spans="1:3" x14ac:dyDescent="0.2">
      <c r="B84" s="1">
        <f>SUM(B77:B83)</f>
        <v>902</v>
      </c>
      <c r="C84" s="6">
        <f>SUM(C77:C83)</f>
        <v>0.99999999999999989</v>
      </c>
    </row>
    <row r="86" spans="1:3" s="12" customFormat="1" x14ac:dyDescent="0.2">
      <c r="A86" s="11" t="s">
        <v>300</v>
      </c>
      <c r="B86" s="11" t="s">
        <v>37</v>
      </c>
      <c r="C86" s="5" t="s">
        <v>16</v>
      </c>
    </row>
    <row r="87" spans="1:3" x14ac:dyDescent="0.2">
      <c r="A87" s="31" t="s">
        <v>178</v>
      </c>
      <c r="B87" s="13">
        <v>36</v>
      </c>
      <c r="C87" s="6">
        <f t="shared" ref="C87:C94" si="5">B87/902</f>
        <v>3.9911308203991129E-2</v>
      </c>
    </row>
    <row r="88" spans="1:3" x14ac:dyDescent="0.2">
      <c r="A88" s="31" t="s">
        <v>179</v>
      </c>
      <c r="B88" s="13">
        <v>32</v>
      </c>
      <c r="C88" s="6">
        <f t="shared" si="5"/>
        <v>3.5476718403547672E-2</v>
      </c>
    </row>
    <row r="89" spans="1:3" x14ac:dyDescent="0.2">
      <c r="A89" s="31" t="s">
        <v>180</v>
      </c>
      <c r="B89" s="13">
        <v>80</v>
      </c>
      <c r="C89" s="6">
        <f t="shared" si="5"/>
        <v>8.8691796008869186E-2</v>
      </c>
    </row>
    <row r="90" spans="1:3" x14ac:dyDescent="0.2">
      <c r="A90" s="31" t="s">
        <v>181</v>
      </c>
      <c r="B90" s="13">
        <v>82</v>
      </c>
      <c r="C90" s="6">
        <f t="shared" si="5"/>
        <v>9.0909090909090912E-2</v>
      </c>
    </row>
    <row r="91" spans="1:3" ht="24" x14ac:dyDescent="0.2">
      <c r="A91" s="31" t="s">
        <v>214</v>
      </c>
      <c r="B91" s="13">
        <v>100</v>
      </c>
      <c r="C91" s="6">
        <f t="shared" si="5"/>
        <v>0.11086474501108648</v>
      </c>
    </row>
    <row r="92" spans="1:3" x14ac:dyDescent="0.2">
      <c r="A92" s="31" t="s">
        <v>182</v>
      </c>
      <c r="B92" s="13">
        <v>254</v>
      </c>
      <c r="C92" s="6">
        <f t="shared" si="5"/>
        <v>0.28159645232815966</v>
      </c>
    </row>
    <row r="93" spans="1:3" x14ac:dyDescent="0.2">
      <c r="A93" s="31" t="s">
        <v>215</v>
      </c>
      <c r="B93" s="13">
        <v>305</v>
      </c>
      <c r="C93" s="6">
        <f t="shared" si="5"/>
        <v>0.33813747228381374</v>
      </c>
    </row>
    <row r="94" spans="1:3" x14ac:dyDescent="0.2">
      <c r="A94" s="31" t="s">
        <v>33</v>
      </c>
      <c r="B94" s="13">
        <v>13</v>
      </c>
      <c r="C94" s="6">
        <f t="shared" si="5"/>
        <v>1.4412416851441241E-2</v>
      </c>
    </row>
    <row r="95" spans="1:3" x14ac:dyDescent="0.2">
      <c r="B95" s="1">
        <f>SUM(B87:B94)</f>
        <v>902</v>
      </c>
      <c r="C95" s="6">
        <f>SUM(C87:C94)</f>
        <v>1</v>
      </c>
    </row>
    <row r="97" spans="1:3" x14ac:dyDescent="0.2">
      <c r="A97" s="4" t="s">
        <v>183</v>
      </c>
      <c r="B97" s="4" t="s">
        <v>37</v>
      </c>
      <c r="C97" s="5" t="s">
        <v>16</v>
      </c>
    </row>
    <row r="98" spans="1:3" x14ac:dyDescent="0.2">
      <c r="A98" s="29" t="s">
        <v>33</v>
      </c>
      <c r="B98" s="7">
        <v>51</v>
      </c>
      <c r="C98" s="6">
        <f>B98/902</f>
        <v>5.6541019955654102E-2</v>
      </c>
    </row>
    <row r="99" spans="1:3" x14ac:dyDescent="0.2">
      <c r="A99" s="29" t="s">
        <v>59</v>
      </c>
      <c r="B99" s="7">
        <v>436</v>
      </c>
      <c r="C99" s="6">
        <f>B99/902</f>
        <v>0.48337028824833705</v>
      </c>
    </row>
    <row r="100" spans="1:3" x14ac:dyDescent="0.2">
      <c r="A100" s="29" t="s">
        <v>60</v>
      </c>
      <c r="B100" s="7">
        <v>415</v>
      </c>
      <c r="C100" s="6">
        <f>B100/902</f>
        <v>0.46008869179600886</v>
      </c>
    </row>
    <row r="101" spans="1:3" x14ac:dyDescent="0.2">
      <c r="A101" s="29"/>
      <c r="B101" s="7">
        <f>SUM(B98:B100)</f>
        <v>902</v>
      </c>
      <c r="C101" s="6">
        <f>SUM(C98:C100)</f>
        <v>1</v>
      </c>
    </row>
    <row r="103" spans="1:3" x14ac:dyDescent="0.2">
      <c r="A103" s="4" t="s">
        <v>61</v>
      </c>
      <c r="B103" s="4" t="s">
        <v>37</v>
      </c>
      <c r="C103" s="5" t="s">
        <v>16</v>
      </c>
    </row>
    <row r="104" spans="1:3" x14ac:dyDescent="0.2">
      <c r="A104" s="32">
        <v>2</v>
      </c>
      <c r="B104" s="7">
        <v>116</v>
      </c>
      <c r="C104" s="6">
        <f t="shared" ref="C104:C120" si="6">B104/436</f>
        <v>0.26605504587155965</v>
      </c>
    </row>
    <row r="105" spans="1:3" x14ac:dyDescent="0.2">
      <c r="A105" s="32">
        <v>3</v>
      </c>
      <c r="B105" s="7">
        <v>104</v>
      </c>
      <c r="C105" s="6">
        <f t="shared" si="6"/>
        <v>0.23853211009174313</v>
      </c>
    </row>
    <row r="106" spans="1:3" x14ac:dyDescent="0.2">
      <c r="A106" s="32">
        <v>4</v>
      </c>
      <c r="B106" s="7">
        <v>45</v>
      </c>
      <c r="C106" s="6">
        <f t="shared" si="6"/>
        <v>0.10321100917431193</v>
      </c>
    </row>
    <row r="107" spans="1:3" x14ac:dyDescent="0.2">
      <c r="A107" s="32">
        <v>5</v>
      </c>
      <c r="B107" s="7">
        <v>16</v>
      </c>
      <c r="C107" s="6">
        <f t="shared" si="6"/>
        <v>3.669724770642202E-2</v>
      </c>
    </row>
    <row r="108" spans="1:3" x14ac:dyDescent="0.2">
      <c r="A108" s="32">
        <v>6</v>
      </c>
      <c r="B108" s="7">
        <v>4</v>
      </c>
      <c r="C108" s="6">
        <f t="shared" si="6"/>
        <v>9.1743119266055051E-3</v>
      </c>
    </row>
    <row r="109" spans="1:3" x14ac:dyDescent="0.2">
      <c r="A109" s="32">
        <v>7</v>
      </c>
      <c r="B109" s="7">
        <v>1</v>
      </c>
      <c r="C109" s="6">
        <f t="shared" si="6"/>
        <v>2.2935779816513763E-3</v>
      </c>
    </row>
    <row r="110" spans="1:3" x14ac:dyDescent="0.2">
      <c r="A110" s="32">
        <v>8</v>
      </c>
      <c r="B110" s="7">
        <v>4</v>
      </c>
      <c r="C110" s="6">
        <f t="shared" si="6"/>
        <v>9.1743119266055051E-3</v>
      </c>
    </row>
    <row r="111" spans="1:3" x14ac:dyDescent="0.2">
      <c r="A111" s="32">
        <v>10</v>
      </c>
      <c r="B111" s="7">
        <v>7</v>
      </c>
      <c r="C111" s="6">
        <f t="shared" si="6"/>
        <v>1.6055045871559634E-2</v>
      </c>
    </row>
    <row r="112" spans="1:3" x14ac:dyDescent="0.2">
      <c r="A112" s="32">
        <v>12</v>
      </c>
      <c r="B112" s="7">
        <v>1</v>
      </c>
      <c r="C112" s="6">
        <f t="shared" si="6"/>
        <v>2.2935779816513763E-3</v>
      </c>
    </row>
    <row r="113" spans="1:3" x14ac:dyDescent="0.2">
      <c r="A113" s="32">
        <v>13</v>
      </c>
      <c r="B113" s="7">
        <v>1</v>
      </c>
      <c r="C113" s="6">
        <f t="shared" si="6"/>
        <v>2.2935779816513763E-3</v>
      </c>
    </row>
    <row r="114" spans="1:3" x14ac:dyDescent="0.2">
      <c r="A114" s="32">
        <v>14</v>
      </c>
      <c r="B114" s="7">
        <v>1</v>
      </c>
      <c r="C114" s="6">
        <f t="shared" si="6"/>
        <v>2.2935779816513763E-3</v>
      </c>
    </row>
    <row r="115" spans="1:3" x14ac:dyDescent="0.2">
      <c r="A115" s="32">
        <v>15</v>
      </c>
      <c r="B115" s="7">
        <v>2</v>
      </c>
      <c r="C115" s="6">
        <f t="shared" si="6"/>
        <v>4.5871559633027525E-3</v>
      </c>
    </row>
    <row r="116" spans="1:3" x14ac:dyDescent="0.2">
      <c r="A116" s="32">
        <v>20</v>
      </c>
      <c r="B116" s="7">
        <v>4</v>
      </c>
      <c r="C116" s="6">
        <f t="shared" si="6"/>
        <v>9.1743119266055051E-3</v>
      </c>
    </row>
    <row r="117" spans="1:3" x14ac:dyDescent="0.2">
      <c r="A117" s="32">
        <v>25</v>
      </c>
      <c r="B117" s="7">
        <v>1</v>
      </c>
      <c r="C117" s="6">
        <f t="shared" si="6"/>
        <v>2.2935779816513763E-3</v>
      </c>
    </row>
    <row r="118" spans="1:3" x14ac:dyDescent="0.2">
      <c r="A118" s="32">
        <v>30</v>
      </c>
      <c r="B118" s="7">
        <v>1</v>
      </c>
      <c r="C118" s="6">
        <f t="shared" si="6"/>
        <v>2.2935779816513763E-3</v>
      </c>
    </row>
    <row r="119" spans="1:3" x14ac:dyDescent="0.2">
      <c r="A119" s="29" t="s">
        <v>33</v>
      </c>
      <c r="B119" s="7">
        <v>107</v>
      </c>
      <c r="C119" s="6">
        <f t="shared" si="6"/>
        <v>0.24541284403669725</v>
      </c>
    </row>
    <row r="120" spans="1:3" x14ac:dyDescent="0.2">
      <c r="A120" s="29" t="s">
        <v>62</v>
      </c>
      <c r="B120" s="7">
        <v>21</v>
      </c>
      <c r="C120" s="6">
        <f t="shared" si="6"/>
        <v>4.8165137614678902E-2</v>
      </c>
    </row>
    <row r="121" spans="1:3" x14ac:dyDescent="0.2">
      <c r="B121" s="1">
        <f>SUM(B104:B120)</f>
        <v>436</v>
      </c>
      <c r="C121" s="6">
        <f>SUM(C104:C120)</f>
        <v>1.0000000000000002</v>
      </c>
    </row>
    <row r="123" spans="1:3" x14ac:dyDescent="0.2">
      <c r="A123" s="24" t="s">
        <v>63</v>
      </c>
    </row>
    <row r="124" spans="1:3" x14ac:dyDescent="0.2">
      <c r="A124" s="4" t="s">
        <v>64</v>
      </c>
      <c r="B124" s="4" t="s">
        <v>37</v>
      </c>
      <c r="C124" s="5" t="s">
        <v>16</v>
      </c>
    </row>
    <row r="125" spans="1:3" ht="24" x14ac:dyDescent="0.2">
      <c r="A125" s="29" t="s">
        <v>65</v>
      </c>
      <c r="B125" s="7">
        <v>266</v>
      </c>
      <c r="C125" s="6">
        <f t="shared" ref="C125:C137" si="7">B125/1184</f>
        <v>0.22466216216216217</v>
      </c>
    </row>
    <row r="126" spans="1:3" x14ac:dyDescent="0.2">
      <c r="A126" s="29" t="s">
        <v>66</v>
      </c>
      <c r="B126" s="7">
        <v>56</v>
      </c>
      <c r="C126" s="6">
        <f t="shared" si="7"/>
        <v>4.72972972972973E-2</v>
      </c>
    </row>
    <row r="127" spans="1:3" x14ac:dyDescent="0.2">
      <c r="A127" s="29" t="s">
        <v>67</v>
      </c>
      <c r="B127" s="7">
        <v>10</v>
      </c>
      <c r="C127" s="6">
        <f t="shared" si="7"/>
        <v>8.4459459459459464E-3</v>
      </c>
    </row>
    <row r="128" spans="1:3" x14ac:dyDescent="0.2">
      <c r="A128" s="29" t="s">
        <v>68</v>
      </c>
      <c r="B128" s="7">
        <v>205</v>
      </c>
      <c r="C128" s="6">
        <f t="shared" si="7"/>
        <v>0.17314189189189189</v>
      </c>
    </row>
    <row r="129" spans="1:3" ht="24" x14ac:dyDescent="0.2">
      <c r="A129" s="29" t="s">
        <v>69</v>
      </c>
      <c r="B129" s="7">
        <v>21</v>
      </c>
      <c r="C129" s="6">
        <f t="shared" si="7"/>
        <v>1.7736486486486486E-2</v>
      </c>
    </row>
    <row r="130" spans="1:3" x14ac:dyDescent="0.2">
      <c r="A130" s="29" t="s">
        <v>70</v>
      </c>
      <c r="B130" s="7">
        <v>70</v>
      </c>
      <c r="C130" s="6">
        <f t="shared" si="7"/>
        <v>5.9121621621621621E-2</v>
      </c>
    </row>
    <row r="131" spans="1:3" x14ac:dyDescent="0.2">
      <c r="A131" s="29" t="s">
        <v>71</v>
      </c>
      <c r="B131" s="7">
        <v>125</v>
      </c>
      <c r="C131" s="6">
        <f t="shared" si="7"/>
        <v>0.10557432432432433</v>
      </c>
    </row>
    <row r="132" spans="1:3" x14ac:dyDescent="0.2">
      <c r="A132" s="29" t="s">
        <v>72</v>
      </c>
      <c r="B132" s="7">
        <v>95</v>
      </c>
      <c r="C132" s="6">
        <f t="shared" si="7"/>
        <v>8.0236486486486486E-2</v>
      </c>
    </row>
    <row r="133" spans="1:3" x14ac:dyDescent="0.2">
      <c r="A133" s="29" t="s">
        <v>73</v>
      </c>
      <c r="B133" s="7">
        <v>16</v>
      </c>
      <c r="C133" s="6">
        <f t="shared" si="7"/>
        <v>1.3513513513513514E-2</v>
      </c>
    </row>
    <row r="134" spans="1:3" x14ac:dyDescent="0.2">
      <c r="A134" s="29" t="s">
        <v>74</v>
      </c>
      <c r="B134" s="7">
        <v>136</v>
      </c>
      <c r="C134" s="6">
        <f t="shared" si="7"/>
        <v>0.11486486486486487</v>
      </c>
    </row>
    <row r="135" spans="1:3" x14ac:dyDescent="0.2">
      <c r="A135" s="29" t="s">
        <v>75</v>
      </c>
      <c r="B135" s="7">
        <v>27</v>
      </c>
      <c r="C135" s="6">
        <f t="shared" si="7"/>
        <v>2.2804054054054054E-2</v>
      </c>
    </row>
    <row r="136" spans="1:3" x14ac:dyDescent="0.2">
      <c r="A136" s="29" t="s">
        <v>76</v>
      </c>
      <c r="B136" s="7">
        <v>129</v>
      </c>
      <c r="C136" s="6">
        <f t="shared" si="7"/>
        <v>0.1089527027027027</v>
      </c>
    </row>
    <row r="137" spans="1:3" x14ac:dyDescent="0.2">
      <c r="A137" s="29" t="s">
        <v>77</v>
      </c>
      <c r="B137" s="7">
        <v>28</v>
      </c>
      <c r="C137" s="6">
        <f t="shared" si="7"/>
        <v>2.364864864864865E-2</v>
      </c>
    </row>
    <row r="138" spans="1:3" x14ac:dyDescent="0.2">
      <c r="B138" s="1">
        <f>SUM(B125:B137)</f>
        <v>1184</v>
      </c>
      <c r="C138" s="6">
        <f>SUM(C125:C137)</f>
        <v>1</v>
      </c>
    </row>
    <row r="141" spans="1:3" x14ac:dyDescent="0.2">
      <c r="A141" s="4" t="s">
        <v>78</v>
      </c>
      <c r="B141" s="4" t="s">
        <v>79</v>
      </c>
      <c r="C141" s="5" t="s">
        <v>16</v>
      </c>
    </row>
    <row r="142" spans="1:3" x14ac:dyDescent="0.2">
      <c r="A142" s="14">
        <v>1</v>
      </c>
      <c r="B142" s="14">
        <v>295</v>
      </c>
      <c r="C142" s="6">
        <f t="shared" ref="C142:C151" si="8">B142/566</f>
        <v>0.52120141342756188</v>
      </c>
    </row>
    <row r="143" spans="1:3" x14ac:dyDescent="0.2">
      <c r="A143" s="14">
        <v>2</v>
      </c>
      <c r="B143" s="14">
        <v>122</v>
      </c>
      <c r="C143" s="6">
        <f t="shared" si="8"/>
        <v>0.21554770318021202</v>
      </c>
    </row>
    <row r="144" spans="1:3" x14ac:dyDescent="0.2">
      <c r="A144" s="14">
        <v>3</v>
      </c>
      <c r="B144" s="14">
        <v>62</v>
      </c>
      <c r="C144" s="6">
        <f t="shared" si="8"/>
        <v>0.10954063604240283</v>
      </c>
    </row>
    <row r="145" spans="1:3" x14ac:dyDescent="0.2">
      <c r="A145" s="14">
        <v>4</v>
      </c>
      <c r="B145" s="14">
        <v>38</v>
      </c>
      <c r="C145" s="6">
        <f t="shared" si="8"/>
        <v>6.7137809187279157E-2</v>
      </c>
    </row>
    <row r="146" spans="1:3" x14ac:dyDescent="0.2">
      <c r="A146" s="14">
        <v>5</v>
      </c>
      <c r="B146" s="14">
        <v>19</v>
      </c>
      <c r="C146" s="6">
        <f t="shared" si="8"/>
        <v>3.3568904593639579E-2</v>
      </c>
    </row>
    <row r="147" spans="1:3" x14ac:dyDescent="0.2">
      <c r="A147" s="14">
        <v>6</v>
      </c>
      <c r="B147" s="14">
        <v>11</v>
      </c>
      <c r="C147" s="6">
        <f t="shared" si="8"/>
        <v>1.9434628975265017E-2</v>
      </c>
    </row>
    <row r="148" spans="1:3" x14ac:dyDescent="0.2">
      <c r="A148" s="14">
        <v>7</v>
      </c>
      <c r="B148" s="14">
        <v>12</v>
      </c>
      <c r="C148" s="6">
        <f t="shared" si="8"/>
        <v>2.1201413427561839E-2</v>
      </c>
    </row>
    <row r="149" spans="1:3" x14ac:dyDescent="0.2">
      <c r="A149" s="14">
        <v>8</v>
      </c>
      <c r="B149" s="14">
        <v>3</v>
      </c>
      <c r="C149" s="6">
        <f t="shared" si="8"/>
        <v>5.3003533568904597E-3</v>
      </c>
    </row>
    <row r="150" spans="1:3" x14ac:dyDescent="0.2">
      <c r="A150" s="14">
        <v>10</v>
      </c>
      <c r="B150" s="14">
        <v>3</v>
      </c>
      <c r="C150" s="6">
        <f t="shared" si="8"/>
        <v>5.3003533568904597E-3</v>
      </c>
    </row>
    <row r="151" spans="1:3" x14ac:dyDescent="0.2">
      <c r="A151" s="14">
        <v>12</v>
      </c>
      <c r="B151" s="14">
        <v>1</v>
      </c>
      <c r="C151" s="6">
        <f t="shared" si="8"/>
        <v>1.7667844522968198E-3</v>
      </c>
    </row>
    <row r="152" spans="1:3" x14ac:dyDescent="0.2">
      <c r="B152" s="1">
        <f>SUM(B142:B151)</f>
        <v>566</v>
      </c>
      <c r="C152" s="6">
        <f>SUM(C142:C151)</f>
        <v>1.0000000000000002</v>
      </c>
    </row>
    <row r="154" spans="1:3" x14ac:dyDescent="0.2">
      <c r="A154" s="24" t="s">
        <v>63</v>
      </c>
    </row>
    <row r="155" spans="1:3" x14ac:dyDescent="0.2">
      <c r="A155" s="4" t="s">
        <v>80</v>
      </c>
      <c r="B155" s="4" t="s">
        <v>37</v>
      </c>
      <c r="C155" s="5" t="s">
        <v>16</v>
      </c>
    </row>
    <row r="156" spans="1:3" x14ac:dyDescent="0.2">
      <c r="A156" s="29" t="s">
        <v>174</v>
      </c>
      <c r="B156" s="7">
        <v>285</v>
      </c>
      <c r="C156" s="6">
        <f>B156/1221</f>
        <v>0.2334152334152334</v>
      </c>
    </row>
    <row r="157" spans="1:3" x14ac:dyDescent="0.2">
      <c r="A157" s="29" t="s">
        <v>81</v>
      </c>
      <c r="B157" s="7">
        <v>261</v>
      </c>
      <c r="C157" s="6">
        <f>B157/1221</f>
        <v>0.21375921375921375</v>
      </c>
    </row>
    <row r="158" spans="1:3" x14ac:dyDescent="0.2">
      <c r="A158" s="29" t="s">
        <v>82</v>
      </c>
      <c r="B158" s="7">
        <v>287</v>
      </c>
      <c r="C158" s="6">
        <f>B158/1221</f>
        <v>0.23505323505323505</v>
      </c>
    </row>
    <row r="159" spans="1:3" ht="24" x14ac:dyDescent="0.2">
      <c r="A159" s="29" t="s">
        <v>83</v>
      </c>
      <c r="B159" s="7">
        <v>201</v>
      </c>
      <c r="C159" s="6">
        <f>B159/1221</f>
        <v>0.16461916461916462</v>
      </c>
    </row>
    <row r="160" spans="1:3" x14ac:dyDescent="0.2">
      <c r="A160" s="29" t="s">
        <v>84</v>
      </c>
      <c r="B160" s="7">
        <v>187</v>
      </c>
      <c r="C160" s="6">
        <f>B160/1221</f>
        <v>0.15315315315315314</v>
      </c>
    </row>
    <row r="161" spans="1:7" x14ac:dyDescent="0.2">
      <c r="A161" s="29"/>
      <c r="B161" s="7">
        <f>SUM(B156:B160)</f>
        <v>1221</v>
      </c>
      <c r="C161" s="6">
        <f>SUM(C156:C160)</f>
        <v>1</v>
      </c>
    </row>
    <row r="162" spans="1:7" x14ac:dyDescent="0.2">
      <c r="A162" s="29"/>
      <c r="B162" s="7"/>
    </row>
    <row r="165" spans="1:7" x14ac:dyDescent="0.2">
      <c r="A165" s="15" t="s">
        <v>86</v>
      </c>
      <c r="B165" s="15" t="s">
        <v>79</v>
      </c>
      <c r="C165" s="5" t="s">
        <v>16</v>
      </c>
    </row>
    <row r="166" spans="1:7" x14ac:dyDescent="0.2">
      <c r="A166" s="7">
        <v>1</v>
      </c>
      <c r="B166" s="7">
        <v>357</v>
      </c>
      <c r="C166" s="6">
        <f>B166/697</f>
        <v>0.51219512195121952</v>
      </c>
      <c r="E166" s="16"/>
      <c r="F166" s="16"/>
      <c r="G166" s="17"/>
    </row>
    <row r="167" spans="1:7" x14ac:dyDescent="0.2">
      <c r="A167" s="7">
        <v>2</v>
      </c>
      <c r="B167" s="7">
        <v>207</v>
      </c>
      <c r="C167" s="6">
        <f>B167/697</f>
        <v>0.29698708751793401</v>
      </c>
      <c r="E167" s="7"/>
      <c r="F167" s="7"/>
    </row>
    <row r="168" spans="1:7" x14ac:dyDescent="0.2">
      <c r="A168" s="7">
        <v>3</v>
      </c>
      <c r="B168" s="7">
        <v>98</v>
      </c>
      <c r="C168" s="6">
        <f>B168/697</f>
        <v>0.14060258249641319</v>
      </c>
      <c r="E168" s="7"/>
      <c r="F168" s="7"/>
    </row>
    <row r="169" spans="1:7" x14ac:dyDescent="0.2">
      <c r="A169" s="7">
        <v>4</v>
      </c>
      <c r="B169" s="7">
        <v>24</v>
      </c>
      <c r="C169" s="6">
        <f>B169/697</f>
        <v>3.443328550932568E-2</v>
      </c>
      <c r="E169" s="7"/>
      <c r="F169" s="7"/>
    </row>
    <row r="170" spans="1:7" x14ac:dyDescent="0.2">
      <c r="A170" s="7">
        <v>5</v>
      </c>
      <c r="B170" s="7">
        <v>11</v>
      </c>
      <c r="C170" s="6">
        <f>B170/697</f>
        <v>1.5781922525107604E-2</v>
      </c>
      <c r="E170" s="7"/>
      <c r="F170" s="7"/>
    </row>
    <row r="171" spans="1:7" x14ac:dyDescent="0.2">
      <c r="B171" s="1">
        <f>SUM(B166:B170)</f>
        <v>697</v>
      </c>
      <c r="E171" s="7"/>
      <c r="F171" s="7"/>
    </row>
    <row r="173" spans="1:7" x14ac:dyDescent="0.2">
      <c r="A173" s="24" t="s">
        <v>63</v>
      </c>
    </row>
    <row r="174" spans="1:7" x14ac:dyDescent="0.2">
      <c r="A174" s="15" t="s">
        <v>87</v>
      </c>
      <c r="B174" s="15" t="s">
        <v>37</v>
      </c>
      <c r="C174" s="5" t="s">
        <v>16</v>
      </c>
    </row>
    <row r="175" spans="1:7" x14ac:dyDescent="0.2">
      <c r="A175" s="33" t="s">
        <v>88</v>
      </c>
      <c r="B175" s="14">
        <v>119</v>
      </c>
      <c r="C175" s="6">
        <f t="shared" ref="C175:C182" si="9">B175/560</f>
        <v>0.21249999999999999</v>
      </c>
    </row>
    <row r="176" spans="1:7" x14ac:dyDescent="0.2">
      <c r="A176" s="33" t="s">
        <v>89</v>
      </c>
      <c r="B176" s="14">
        <v>21</v>
      </c>
      <c r="C176" s="6">
        <f t="shared" si="9"/>
        <v>3.7499999999999999E-2</v>
      </c>
    </row>
    <row r="177" spans="1:3" ht="24" x14ac:dyDescent="0.2">
      <c r="A177" s="33" t="s">
        <v>90</v>
      </c>
      <c r="B177" s="14">
        <v>74</v>
      </c>
      <c r="C177" s="6">
        <f t="shared" si="9"/>
        <v>0.13214285714285715</v>
      </c>
    </row>
    <row r="178" spans="1:3" x14ac:dyDescent="0.2">
      <c r="A178" s="33" t="s">
        <v>91</v>
      </c>
      <c r="B178" s="14">
        <v>172</v>
      </c>
      <c r="C178" s="6">
        <f t="shared" si="9"/>
        <v>0.30714285714285716</v>
      </c>
    </row>
    <row r="179" spans="1:3" ht="24" x14ac:dyDescent="0.2">
      <c r="A179" s="33" t="s">
        <v>92</v>
      </c>
      <c r="B179" s="14">
        <v>77</v>
      </c>
      <c r="C179" s="6">
        <f t="shared" si="9"/>
        <v>0.13750000000000001</v>
      </c>
    </row>
    <row r="180" spans="1:3" x14ac:dyDescent="0.2">
      <c r="A180" s="33" t="s">
        <v>93</v>
      </c>
      <c r="B180" s="14">
        <v>80</v>
      </c>
      <c r="C180" s="6">
        <f t="shared" si="9"/>
        <v>0.14285714285714285</v>
      </c>
    </row>
    <row r="181" spans="1:3" x14ac:dyDescent="0.2">
      <c r="A181" s="33" t="s">
        <v>94</v>
      </c>
      <c r="B181" s="14">
        <v>1</v>
      </c>
      <c r="C181" s="6">
        <f t="shared" si="9"/>
        <v>1.7857142857142857E-3</v>
      </c>
    </row>
    <row r="182" spans="1:3" x14ac:dyDescent="0.2">
      <c r="A182" s="33" t="s">
        <v>95</v>
      </c>
      <c r="B182" s="14">
        <v>16</v>
      </c>
      <c r="C182" s="6">
        <f t="shared" si="9"/>
        <v>2.8571428571428571E-2</v>
      </c>
    </row>
    <row r="183" spans="1:3" x14ac:dyDescent="0.2">
      <c r="A183" s="33"/>
      <c r="B183" s="14">
        <f>SUM(B175:B182)</f>
        <v>560</v>
      </c>
      <c r="C183" s="6">
        <f>SUM(C175:C182)</f>
        <v>0.99999999999999989</v>
      </c>
    </row>
    <row r="184" spans="1:3" x14ac:dyDescent="0.2">
      <c r="A184" s="33"/>
      <c r="B184" s="14"/>
    </row>
    <row r="185" spans="1:3" x14ac:dyDescent="0.2">
      <c r="A185" s="24" t="s">
        <v>63</v>
      </c>
    </row>
    <row r="186" spans="1:3" x14ac:dyDescent="0.2">
      <c r="A186" s="4" t="s">
        <v>97</v>
      </c>
      <c r="B186" s="4" t="s">
        <v>79</v>
      </c>
      <c r="C186" s="5" t="s">
        <v>16</v>
      </c>
    </row>
    <row r="187" spans="1:3" x14ac:dyDescent="0.2">
      <c r="A187" s="7">
        <v>1</v>
      </c>
      <c r="B187" s="7">
        <v>361</v>
      </c>
      <c r="C187" s="6">
        <f>B187/440</f>
        <v>0.82045454545454544</v>
      </c>
    </row>
    <row r="188" spans="1:3" x14ac:dyDescent="0.2">
      <c r="A188" s="7">
        <v>2</v>
      </c>
      <c r="B188" s="7">
        <v>56</v>
      </c>
      <c r="C188" s="6">
        <f>B188/440</f>
        <v>0.12727272727272726</v>
      </c>
    </row>
    <row r="189" spans="1:3" x14ac:dyDescent="0.2">
      <c r="A189" s="7">
        <v>3</v>
      </c>
      <c r="B189" s="7">
        <v>18</v>
      </c>
      <c r="C189" s="6">
        <f>B189/440</f>
        <v>4.0909090909090909E-2</v>
      </c>
    </row>
    <row r="190" spans="1:3" x14ac:dyDescent="0.2">
      <c r="A190" s="7">
        <v>4</v>
      </c>
      <c r="B190" s="7">
        <v>3</v>
      </c>
      <c r="C190" s="6">
        <f>B190/440</f>
        <v>6.8181818181818179E-3</v>
      </c>
    </row>
    <row r="191" spans="1:3" x14ac:dyDescent="0.2">
      <c r="A191" s="7">
        <v>5</v>
      </c>
      <c r="B191" s="7">
        <v>2</v>
      </c>
      <c r="C191" s="6">
        <f>B191/440</f>
        <v>4.5454545454545452E-3</v>
      </c>
    </row>
    <row r="192" spans="1:3" x14ac:dyDescent="0.2">
      <c r="A192" s="7"/>
      <c r="B192" s="7">
        <f>SUM(B187:B191)</f>
        <v>440</v>
      </c>
      <c r="C192" s="6">
        <f>SUM(C187:C191)</f>
        <v>1</v>
      </c>
    </row>
    <row r="193" spans="1:3" x14ac:dyDescent="0.2">
      <c r="A193" s="7"/>
      <c r="B193" s="7"/>
    </row>
    <row r="194" spans="1:3" x14ac:dyDescent="0.2">
      <c r="A194" s="24" t="s">
        <v>63</v>
      </c>
      <c r="B194" s="7"/>
    </row>
    <row r="195" spans="1:3" x14ac:dyDescent="0.2">
      <c r="A195" s="4" t="s">
        <v>80</v>
      </c>
      <c r="B195" s="4" t="s">
        <v>37</v>
      </c>
      <c r="C195" s="5" t="s">
        <v>16</v>
      </c>
    </row>
    <row r="196" spans="1:3" ht="24" x14ac:dyDescent="0.2">
      <c r="A196" s="29" t="s">
        <v>98</v>
      </c>
      <c r="B196" s="7">
        <v>297</v>
      </c>
      <c r="C196" s="6">
        <f t="shared" ref="C196:C203" si="10">B196/1199</f>
        <v>0.24770642201834864</v>
      </c>
    </row>
    <row r="197" spans="1:3" x14ac:dyDescent="0.2">
      <c r="A197" s="29" t="s">
        <v>99</v>
      </c>
      <c r="B197" s="7">
        <v>215</v>
      </c>
      <c r="C197" s="6">
        <f t="shared" si="10"/>
        <v>0.17931609674728941</v>
      </c>
    </row>
    <row r="198" spans="1:3" ht="24" x14ac:dyDescent="0.2">
      <c r="A198" s="29" t="s">
        <v>100</v>
      </c>
      <c r="B198" s="7">
        <v>67</v>
      </c>
      <c r="C198" s="6">
        <f t="shared" si="10"/>
        <v>5.5879899916597163E-2</v>
      </c>
    </row>
    <row r="199" spans="1:3" x14ac:dyDescent="0.2">
      <c r="A199" s="29" t="s">
        <v>101</v>
      </c>
      <c r="B199" s="7">
        <v>83</v>
      </c>
      <c r="C199" s="6">
        <f t="shared" si="10"/>
        <v>6.9224353628023358E-2</v>
      </c>
    </row>
    <row r="200" spans="1:3" x14ac:dyDescent="0.2">
      <c r="A200" s="29" t="s">
        <v>102</v>
      </c>
      <c r="B200" s="7">
        <v>181</v>
      </c>
      <c r="C200" s="6">
        <f t="shared" si="10"/>
        <v>0.15095913261050875</v>
      </c>
    </row>
    <row r="201" spans="1:3" x14ac:dyDescent="0.2">
      <c r="A201" s="29" t="s">
        <v>103</v>
      </c>
      <c r="B201" s="7">
        <v>151</v>
      </c>
      <c r="C201" s="6">
        <f t="shared" si="10"/>
        <v>0.12593828190158465</v>
      </c>
    </row>
    <row r="202" spans="1:3" x14ac:dyDescent="0.2">
      <c r="A202" s="29" t="s">
        <v>104</v>
      </c>
      <c r="B202" s="7">
        <v>197</v>
      </c>
      <c r="C202" s="6">
        <f t="shared" si="10"/>
        <v>0.16430358632193495</v>
      </c>
    </row>
    <row r="203" spans="1:3" x14ac:dyDescent="0.2">
      <c r="A203" s="29" t="s">
        <v>105</v>
      </c>
      <c r="B203" s="7">
        <v>8</v>
      </c>
      <c r="C203" s="6">
        <f t="shared" si="10"/>
        <v>6.672226855713094E-3</v>
      </c>
    </row>
    <row r="204" spans="1:3" x14ac:dyDescent="0.2">
      <c r="A204" s="29"/>
      <c r="B204" s="7">
        <f>SUM(B196:B203)</f>
        <v>1199</v>
      </c>
      <c r="C204" s="6">
        <f>SUM(C196:C203)</f>
        <v>1</v>
      </c>
    </row>
    <row r="205" spans="1:3" x14ac:dyDescent="0.2">
      <c r="A205" s="29"/>
      <c r="B205" s="7"/>
    </row>
    <row r="206" spans="1:3" x14ac:dyDescent="0.2">
      <c r="A206" s="4" t="s">
        <v>107</v>
      </c>
      <c r="B206" s="4" t="s">
        <v>37</v>
      </c>
      <c r="C206" s="5" t="s">
        <v>16</v>
      </c>
    </row>
    <row r="207" spans="1:3" x14ac:dyDescent="0.2">
      <c r="A207" s="7">
        <v>1</v>
      </c>
      <c r="B207" s="7">
        <v>340</v>
      </c>
      <c r="C207" s="6">
        <f t="shared" ref="C207:C214" si="11">B207/641</f>
        <v>0.53042121684867394</v>
      </c>
    </row>
    <row r="208" spans="1:3" x14ac:dyDescent="0.2">
      <c r="A208" s="7">
        <v>2</v>
      </c>
      <c r="B208" s="7">
        <v>154</v>
      </c>
      <c r="C208" s="6">
        <f t="shared" si="11"/>
        <v>0.24024960998439937</v>
      </c>
    </row>
    <row r="209" spans="1:3" x14ac:dyDescent="0.2">
      <c r="A209" s="7">
        <v>3</v>
      </c>
      <c r="B209" s="7">
        <v>86</v>
      </c>
      <c r="C209" s="6">
        <f t="shared" si="11"/>
        <v>0.13416536661466458</v>
      </c>
    </row>
    <row r="210" spans="1:3" x14ac:dyDescent="0.2">
      <c r="A210" s="7">
        <v>4</v>
      </c>
      <c r="B210" s="7">
        <v>32</v>
      </c>
      <c r="C210" s="6">
        <f t="shared" si="11"/>
        <v>4.9921996879875197E-2</v>
      </c>
    </row>
    <row r="211" spans="1:3" x14ac:dyDescent="0.2">
      <c r="A211" s="7">
        <v>5</v>
      </c>
      <c r="B211" s="7">
        <v>16</v>
      </c>
      <c r="C211" s="6">
        <f t="shared" si="11"/>
        <v>2.4960998439937598E-2</v>
      </c>
    </row>
    <row r="212" spans="1:3" x14ac:dyDescent="0.2">
      <c r="A212" s="7">
        <v>6</v>
      </c>
      <c r="B212" s="7">
        <v>9</v>
      </c>
      <c r="C212" s="6">
        <f t="shared" si="11"/>
        <v>1.4040561622464899E-2</v>
      </c>
    </row>
    <row r="213" spans="1:3" x14ac:dyDescent="0.2">
      <c r="A213" s="7">
        <v>7</v>
      </c>
      <c r="B213" s="7">
        <v>2</v>
      </c>
      <c r="C213" s="6">
        <f t="shared" si="11"/>
        <v>3.1201248049921998E-3</v>
      </c>
    </row>
    <row r="214" spans="1:3" x14ac:dyDescent="0.2">
      <c r="A214" s="7">
        <v>8</v>
      </c>
      <c r="B214" s="7">
        <v>2</v>
      </c>
      <c r="C214" s="6">
        <f t="shared" si="11"/>
        <v>3.1201248049921998E-3</v>
      </c>
    </row>
    <row r="215" spans="1:3" x14ac:dyDescent="0.2">
      <c r="B215" s="1">
        <f>SUM(B207:B214)</f>
        <v>641</v>
      </c>
      <c r="C215" s="6">
        <f>SUM(C207:C214)</f>
        <v>1</v>
      </c>
    </row>
    <row r="216" spans="1:3" x14ac:dyDescent="0.2">
      <c r="C216" s="6"/>
    </row>
    <row r="217" spans="1:3" ht="24" x14ac:dyDescent="0.2">
      <c r="A217" s="18" t="s">
        <v>151</v>
      </c>
      <c r="B217" s="18" t="s">
        <v>152</v>
      </c>
      <c r="C217" s="2" t="s">
        <v>16</v>
      </c>
    </row>
    <row r="218" spans="1:3" x14ac:dyDescent="0.2">
      <c r="A218" s="13">
        <v>2</v>
      </c>
      <c r="B218" s="13">
        <v>4</v>
      </c>
      <c r="C218" s="6">
        <f t="shared" ref="C218:C233" si="12">B218/902</f>
        <v>4.434589800443459E-3</v>
      </c>
    </row>
    <row r="219" spans="1:3" x14ac:dyDescent="0.2">
      <c r="A219" s="13">
        <v>3</v>
      </c>
      <c r="B219" s="13">
        <v>386</v>
      </c>
      <c r="C219" s="6">
        <f t="shared" si="12"/>
        <v>0.42793791574279377</v>
      </c>
    </row>
    <row r="220" spans="1:3" x14ac:dyDescent="0.2">
      <c r="A220" s="13">
        <v>4</v>
      </c>
      <c r="B220" s="13">
        <v>219</v>
      </c>
      <c r="C220" s="6">
        <f t="shared" si="12"/>
        <v>0.24279379157427938</v>
      </c>
    </row>
    <row r="221" spans="1:3" x14ac:dyDescent="0.2">
      <c r="A221" s="13">
        <v>5</v>
      </c>
      <c r="B221" s="13">
        <v>125</v>
      </c>
      <c r="C221" s="6">
        <f t="shared" si="12"/>
        <v>0.13858093126385809</v>
      </c>
    </row>
    <row r="222" spans="1:3" x14ac:dyDescent="0.2">
      <c r="A222" s="13">
        <v>6</v>
      </c>
      <c r="B222" s="13">
        <v>70</v>
      </c>
      <c r="C222" s="6">
        <f t="shared" si="12"/>
        <v>7.7605321507760533E-2</v>
      </c>
    </row>
    <row r="223" spans="1:3" x14ac:dyDescent="0.2">
      <c r="A223" s="13">
        <v>7</v>
      </c>
      <c r="B223" s="13">
        <v>36</v>
      </c>
      <c r="C223" s="6">
        <f t="shared" si="12"/>
        <v>3.9911308203991129E-2</v>
      </c>
    </row>
    <row r="224" spans="1:3" x14ac:dyDescent="0.2">
      <c r="A224" s="13">
        <v>8</v>
      </c>
      <c r="B224" s="13">
        <v>18</v>
      </c>
      <c r="C224" s="6">
        <f t="shared" si="12"/>
        <v>1.9955654101995565E-2</v>
      </c>
    </row>
    <row r="225" spans="1:3" x14ac:dyDescent="0.2">
      <c r="A225" s="13">
        <v>9</v>
      </c>
      <c r="B225" s="13">
        <v>15</v>
      </c>
      <c r="C225" s="6">
        <f t="shared" si="12"/>
        <v>1.662971175166297E-2</v>
      </c>
    </row>
    <row r="226" spans="1:3" x14ac:dyDescent="0.2">
      <c r="A226" s="13">
        <v>10</v>
      </c>
      <c r="B226" s="13">
        <v>8</v>
      </c>
      <c r="C226" s="6">
        <f t="shared" si="12"/>
        <v>8.869179600886918E-3</v>
      </c>
    </row>
    <row r="227" spans="1:3" x14ac:dyDescent="0.2">
      <c r="A227" s="13">
        <v>11</v>
      </c>
      <c r="B227" s="13">
        <v>6</v>
      </c>
      <c r="C227" s="6">
        <f t="shared" si="12"/>
        <v>6.6518847006651885E-3</v>
      </c>
    </row>
    <row r="228" spans="1:3" x14ac:dyDescent="0.2">
      <c r="A228" s="13">
        <v>12</v>
      </c>
      <c r="B228" s="13">
        <v>7</v>
      </c>
      <c r="C228" s="6">
        <f t="shared" si="12"/>
        <v>7.7605321507760536E-3</v>
      </c>
    </row>
    <row r="229" spans="1:3" x14ac:dyDescent="0.2">
      <c r="A229" s="13">
        <v>13</v>
      </c>
      <c r="B229" s="13">
        <v>2</v>
      </c>
      <c r="C229" s="6">
        <f t="shared" si="12"/>
        <v>2.2172949002217295E-3</v>
      </c>
    </row>
    <row r="230" spans="1:3" x14ac:dyDescent="0.2">
      <c r="A230" s="13">
        <v>14</v>
      </c>
      <c r="B230" s="13">
        <v>2</v>
      </c>
      <c r="C230" s="6">
        <f t="shared" si="12"/>
        <v>2.2172949002217295E-3</v>
      </c>
    </row>
    <row r="231" spans="1:3" x14ac:dyDescent="0.2">
      <c r="A231" s="13">
        <v>15</v>
      </c>
      <c r="B231" s="13">
        <v>2</v>
      </c>
      <c r="C231" s="6">
        <f t="shared" si="12"/>
        <v>2.2172949002217295E-3</v>
      </c>
    </row>
    <row r="232" spans="1:3" x14ac:dyDescent="0.2">
      <c r="A232" s="13">
        <v>16</v>
      </c>
      <c r="B232" s="13">
        <v>1</v>
      </c>
      <c r="C232" s="6">
        <f t="shared" si="12"/>
        <v>1.1086474501108647E-3</v>
      </c>
    </row>
    <row r="233" spans="1:3" x14ac:dyDescent="0.2">
      <c r="A233" s="13">
        <v>17</v>
      </c>
      <c r="B233" s="13">
        <v>1</v>
      </c>
      <c r="C233" s="6">
        <f t="shared" si="12"/>
        <v>1.1086474501108647E-3</v>
      </c>
    </row>
    <row r="234" spans="1:3" x14ac:dyDescent="0.2">
      <c r="A234" s="13" t="s">
        <v>43</v>
      </c>
      <c r="B234" s="13">
        <f>SUM(B218:B233)</f>
        <v>902</v>
      </c>
      <c r="C234" s="6">
        <f>SUM(C218:C233)</f>
        <v>0.99999999999999989</v>
      </c>
    </row>
    <row r="235" spans="1:3" x14ac:dyDescent="0.2">
      <c r="A235" s="13"/>
      <c r="B235" s="13"/>
      <c r="C235" s="6"/>
    </row>
    <row r="236" spans="1:3" ht="24" x14ac:dyDescent="0.2">
      <c r="A236" s="19" t="s">
        <v>235</v>
      </c>
      <c r="B236" s="19" t="s">
        <v>237</v>
      </c>
      <c r="C236" s="20" t="s">
        <v>236</v>
      </c>
    </row>
    <row r="237" spans="1:3" x14ac:dyDescent="0.2">
      <c r="A237" s="13"/>
      <c r="B237" s="13">
        <v>431</v>
      </c>
      <c r="C237" s="21">
        <v>47</v>
      </c>
    </row>
    <row r="238" spans="1:3" x14ac:dyDescent="0.2">
      <c r="A238" s="13"/>
      <c r="B238" s="13"/>
      <c r="C238" s="21">
        <f>SUM(B237:C237)</f>
        <v>478</v>
      </c>
    </row>
    <row r="239" spans="1:3" x14ac:dyDescent="0.2">
      <c r="A239" s="13"/>
      <c r="B239" s="13"/>
      <c r="C239" s="6"/>
    </row>
    <row r="241" spans="1:4" x14ac:dyDescent="0.2">
      <c r="A241" s="4" t="s">
        <v>238</v>
      </c>
      <c r="B241" s="4" t="s">
        <v>37</v>
      </c>
      <c r="C241" s="5" t="s">
        <v>16</v>
      </c>
    </row>
    <row r="242" spans="1:4" x14ac:dyDescent="0.2">
      <c r="A242" s="29" t="s">
        <v>60</v>
      </c>
      <c r="B242" s="7">
        <v>438</v>
      </c>
      <c r="C242" s="6">
        <f>B242/902</f>
        <v>0.48558758314855877</v>
      </c>
    </row>
    <row r="245" spans="1:4" x14ac:dyDescent="0.2">
      <c r="A245" s="4" t="s">
        <v>108</v>
      </c>
      <c r="B245" s="4" t="s">
        <v>37</v>
      </c>
      <c r="C245" s="5" t="s">
        <v>16</v>
      </c>
    </row>
    <row r="246" spans="1:4" x14ac:dyDescent="0.2">
      <c r="A246" s="29" t="s">
        <v>109</v>
      </c>
      <c r="B246" s="7">
        <v>162</v>
      </c>
      <c r="C246" s="6">
        <f>B246/902</f>
        <v>0.17960088691796008</v>
      </c>
    </row>
    <row r="247" spans="1:4" ht="24" x14ac:dyDescent="0.2">
      <c r="A247" s="1" t="s">
        <v>110</v>
      </c>
      <c r="B247" s="1">
        <v>8</v>
      </c>
    </row>
    <row r="248" spans="1:4" ht="24" x14ac:dyDescent="0.2">
      <c r="B248" s="1">
        <f>SUM(B246:B247)</f>
        <v>170</v>
      </c>
      <c r="C248" s="6">
        <v>0.1658</v>
      </c>
      <c r="D248" s="1" t="s">
        <v>111</v>
      </c>
    </row>
    <row r="250" spans="1:4" ht="24" x14ac:dyDescent="0.2">
      <c r="A250" s="4" t="s">
        <v>239</v>
      </c>
      <c r="B250" s="4" t="s">
        <v>37</v>
      </c>
      <c r="C250" s="5" t="s">
        <v>16</v>
      </c>
    </row>
    <row r="251" spans="1:4" x14ac:dyDescent="0.2">
      <c r="A251" s="29" t="s">
        <v>60</v>
      </c>
      <c r="B251" s="7">
        <v>236</v>
      </c>
      <c r="C251" s="6">
        <f>B251/902</f>
        <v>0.2616407982261641</v>
      </c>
    </row>
    <row r="252" spans="1:4" x14ac:dyDescent="0.2">
      <c r="A252" s="29"/>
      <c r="B252" s="7"/>
    </row>
    <row r="254" spans="1:4" ht="24" x14ac:dyDescent="0.2">
      <c r="A254" s="4" t="s">
        <v>240</v>
      </c>
      <c r="B254" s="4" t="s">
        <v>37</v>
      </c>
      <c r="C254" s="5" t="s">
        <v>16</v>
      </c>
    </row>
    <row r="255" spans="1:4" x14ac:dyDescent="0.2">
      <c r="A255" s="29" t="s">
        <v>60</v>
      </c>
      <c r="B255" s="7">
        <v>133</v>
      </c>
      <c r="C255" s="6">
        <f>B255/236</f>
        <v>0.56355932203389836</v>
      </c>
    </row>
    <row r="256" spans="1:4" x14ac:dyDescent="0.2">
      <c r="A256" s="29"/>
      <c r="B256" s="7"/>
    </row>
    <row r="258" spans="1:3" x14ac:dyDescent="0.2">
      <c r="A258" s="4" t="s">
        <v>112</v>
      </c>
      <c r="B258" s="4" t="s">
        <v>37</v>
      </c>
      <c r="C258" s="5" t="s">
        <v>16</v>
      </c>
    </row>
    <row r="259" spans="1:3" x14ac:dyDescent="0.2">
      <c r="A259" s="29" t="s">
        <v>60</v>
      </c>
      <c r="B259" s="7">
        <v>144</v>
      </c>
      <c r="C259" s="6">
        <f>B259/902</f>
        <v>0.15964523281596452</v>
      </c>
    </row>
    <row r="261" spans="1:3" x14ac:dyDescent="0.2">
      <c r="A261" s="4" t="s">
        <v>113</v>
      </c>
      <c r="B261" s="4" t="s">
        <v>245</v>
      </c>
      <c r="C261" s="5" t="s">
        <v>16</v>
      </c>
    </row>
    <row r="262" spans="1:3" x14ac:dyDescent="0.2">
      <c r="A262" s="29" t="s">
        <v>114</v>
      </c>
      <c r="B262" s="7">
        <v>40</v>
      </c>
      <c r="C262" s="6">
        <f>B262/144</f>
        <v>0.27777777777777779</v>
      </c>
    </row>
    <row r="263" spans="1:3" x14ac:dyDescent="0.2">
      <c r="A263" s="29" t="s">
        <v>115</v>
      </c>
      <c r="B263" s="7">
        <v>92</v>
      </c>
      <c r="C263" s="6">
        <f>B263/144</f>
        <v>0.63888888888888884</v>
      </c>
    </row>
    <row r="264" spans="1:3" x14ac:dyDescent="0.2">
      <c r="A264" s="1" t="s">
        <v>33</v>
      </c>
      <c r="B264" s="1">
        <v>12</v>
      </c>
      <c r="C264" s="6">
        <f>B264/144</f>
        <v>8.3333333333333329E-2</v>
      </c>
    </row>
    <row r="265" spans="1:3" x14ac:dyDescent="0.2">
      <c r="B265" s="1">
        <f>SUM(B262:B264)</f>
        <v>144</v>
      </c>
      <c r="C265" s="6">
        <f>B265/144</f>
        <v>1</v>
      </c>
    </row>
    <row r="266" spans="1:3" x14ac:dyDescent="0.2">
      <c r="C266" s="6"/>
    </row>
    <row r="267" spans="1:3" ht="24" x14ac:dyDescent="0.2">
      <c r="A267" s="5" t="s">
        <v>249</v>
      </c>
      <c r="B267" s="5" t="s">
        <v>37</v>
      </c>
      <c r="C267" s="20" t="s">
        <v>16</v>
      </c>
    </row>
    <row r="268" spans="1:3" x14ac:dyDescent="0.2">
      <c r="B268" s="1">
        <v>473</v>
      </c>
      <c r="C268" s="6">
        <f>B268/902</f>
        <v>0.52439024390243905</v>
      </c>
    </row>
    <row r="269" spans="1:3" x14ac:dyDescent="0.2">
      <c r="C269" s="6"/>
    </row>
    <row r="271" spans="1:3" x14ac:dyDescent="0.2">
      <c r="A271" s="24" t="s">
        <v>63</v>
      </c>
    </row>
    <row r="272" spans="1:3" x14ac:dyDescent="0.2">
      <c r="A272" s="4" t="s">
        <v>116</v>
      </c>
      <c r="B272" s="4" t="s">
        <v>37</v>
      </c>
      <c r="C272" s="5" t="s">
        <v>16</v>
      </c>
    </row>
    <row r="273" spans="1:5" x14ac:dyDescent="0.2">
      <c r="A273" s="29" t="s">
        <v>117</v>
      </c>
      <c r="B273" s="7">
        <v>143</v>
      </c>
      <c r="C273" s="6">
        <f t="shared" ref="C273:C279" si="13">B273/473</f>
        <v>0.30232558139534882</v>
      </c>
    </row>
    <row r="274" spans="1:5" x14ac:dyDescent="0.2">
      <c r="A274" s="29" t="s">
        <v>118</v>
      </c>
      <c r="B274" s="7">
        <v>120</v>
      </c>
      <c r="C274" s="6">
        <f t="shared" si="13"/>
        <v>0.2536997885835095</v>
      </c>
    </row>
    <row r="275" spans="1:5" x14ac:dyDescent="0.2">
      <c r="A275" s="29" t="s">
        <v>119</v>
      </c>
      <c r="B275" s="7">
        <v>125</v>
      </c>
      <c r="C275" s="6">
        <f t="shared" si="13"/>
        <v>0.26427061310782241</v>
      </c>
    </row>
    <row r="276" spans="1:5" x14ac:dyDescent="0.2">
      <c r="A276" s="29" t="s">
        <v>120</v>
      </c>
      <c r="B276" s="7">
        <v>46</v>
      </c>
      <c r="C276" s="6">
        <f t="shared" si="13"/>
        <v>9.7251585623678652E-2</v>
      </c>
    </row>
    <row r="277" spans="1:5" x14ac:dyDescent="0.2">
      <c r="A277" s="29" t="s">
        <v>121</v>
      </c>
      <c r="B277" s="7">
        <v>11</v>
      </c>
      <c r="C277" s="6">
        <f t="shared" si="13"/>
        <v>2.3255813953488372E-2</v>
      </c>
    </row>
    <row r="278" spans="1:5" ht="24" x14ac:dyDescent="0.2">
      <c r="A278" s="29" t="s">
        <v>122</v>
      </c>
      <c r="B278" s="7">
        <v>22</v>
      </c>
      <c r="C278" s="6">
        <f t="shared" si="13"/>
        <v>4.6511627906976744E-2</v>
      </c>
    </row>
    <row r="279" spans="1:5" x14ac:dyDescent="0.2">
      <c r="A279" s="29" t="s">
        <v>123</v>
      </c>
      <c r="B279" s="7">
        <v>6</v>
      </c>
      <c r="C279" s="6">
        <f t="shared" si="13"/>
        <v>1.2684989429175475E-2</v>
      </c>
    </row>
    <row r="280" spans="1:5" x14ac:dyDescent="0.2">
      <c r="A280" s="29"/>
      <c r="B280" s="7">
        <f>SUM(B273:B279)</f>
        <v>473</v>
      </c>
      <c r="C280" s="6">
        <f>SUM(C273:C279)</f>
        <v>1</v>
      </c>
    </row>
    <row r="284" spans="1:5" ht="48" customHeight="1" x14ac:dyDescent="0.2">
      <c r="A284" s="4" t="s">
        <v>124</v>
      </c>
      <c r="B284" s="4" t="s">
        <v>37</v>
      </c>
      <c r="C284" s="5" t="s">
        <v>125</v>
      </c>
      <c r="D284" s="5" t="s">
        <v>126</v>
      </c>
      <c r="E284" s="2" t="s">
        <v>16</v>
      </c>
    </row>
    <row r="285" spans="1:5" x14ac:dyDescent="0.2">
      <c r="A285" s="30" t="s">
        <v>127</v>
      </c>
      <c r="B285" s="10">
        <v>0</v>
      </c>
      <c r="C285" s="1">
        <v>60</v>
      </c>
      <c r="D285" s="1">
        <f t="shared" ref="D285:D292" si="14">C285+B285</f>
        <v>60</v>
      </c>
      <c r="E285" s="6">
        <f>D285/1085</f>
        <v>5.5299539170506916E-2</v>
      </c>
    </row>
    <row r="286" spans="1:5" x14ac:dyDescent="0.2">
      <c r="A286" s="29" t="s">
        <v>128</v>
      </c>
      <c r="B286" s="7">
        <v>55</v>
      </c>
      <c r="C286" s="1">
        <v>24</v>
      </c>
      <c r="D286" s="1">
        <f t="shared" si="14"/>
        <v>79</v>
      </c>
      <c r="E286" s="6">
        <f t="shared" ref="E286:E292" si="15">D286/1085</f>
        <v>7.2811059907834097E-2</v>
      </c>
    </row>
    <row r="287" spans="1:5" x14ac:dyDescent="0.2">
      <c r="A287" s="29" t="s">
        <v>129</v>
      </c>
      <c r="B287" s="7">
        <v>119</v>
      </c>
      <c r="C287" s="1">
        <v>25</v>
      </c>
      <c r="D287" s="1">
        <f t="shared" si="14"/>
        <v>144</v>
      </c>
      <c r="E287" s="6">
        <f t="shared" si="15"/>
        <v>0.1327188940092166</v>
      </c>
    </row>
    <row r="288" spans="1:5" x14ac:dyDescent="0.2">
      <c r="A288" s="29" t="s">
        <v>130</v>
      </c>
      <c r="B288" s="7">
        <v>162</v>
      </c>
      <c r="C288" s="1">
        <v>28</v>
      </c>
      <c r="D288" s="1">
        <f t="shared" si="14"/>
        <v>190</v>
      </c>
      <c r="E288" s="6">
        <f t="shared" si="15"/>
        <v>0.17511520737327188</v>
      </c>
    </row>
    <row r="289" spans="1:5" x14ac:dyDescent="0.2">
      <c r="A289" s="29" t="s">
        <v>131</v>
      </c>
      <c r="B289" s="7">
        <v>272</v>
      </c>
      <c r="C289" s="1">
        <v>25</v>
      </c>
      <c r="D289" s="1">
        <f t="shared" si="14"/>
        <v>297</v>
      </c>
      <c r="E289" s="6">
        <f t="shared" si="15"/>
        <v>0.27373271889400924</v>
      </c>
    </row>
    <row r="290" spans="1:5" x14ac:dyDescent="0.2">
      <c r="A290" s="29" t="s">
        <v>132</v>
      </c>
      <c r="B290" s="7">
        <v>182</v>
      </c>
      <c r="C290" s="1">
        <v>13</v>
      </c>
      <c r="D290" s="1">
        <f t="shared" si="14"/>
        <v>195</v>
      </c>
      <c r="E290" s="6">
        <f t="shared" si="15"/>
        <v>0.17972350230414746</v>
      </c>
    </row>
    <row r="291" spans="1:5" x14ac:dyDescent="0.2">
      <c r="A291" s="29" t="s">
        <v>133</v>
      </c>
      <c r="B291" s="7">
        <v>89</v>
      </c>
      <c r="C291" s="1">
        <v>8</v>
      </c>
      <c r="D291" s="1">
        <f t="shared" si="14"/>
        <v>97</v>
      </c>
      <c r="E291" s="6">
        <f t="shared" si="15"/>
        <v>8.9400921658986179E-2</v>
      </c>
    </row>
    <row r="292" spans="1:5" x14ac:dyDescent="0.2">
      <c r="A292" s="29" t="s">
        <v>134</v>
      </c>
      <c r="B292" s="7">
        <v>23</v>
      </c>
      <c r="C292" s="1">
        <v>0</v>
      </c>
      <c r="D292" s="1">
        <f t="shared" si="14"/>
        <v>23</v>
      </c>
      <c r="E292" s="6">
        <f t="shared" si="15"/>
        <v>2.1198156682027649E-2</v>
      </c>
    </row>
    <row r="293" spans="1:5" x14ac:dyDescent="0.2">
      <c r="B293" s="1">
        <f>SUM(B285:B292)</f>
        <v>902</v>
      </c>
      <c r="C293" s="1">
        <f>SUM(C285:C292)</f>
        <v>183</v>
      </c>
      <c r="D293" s="1">
        <f>SUM(D285:D292)</f>
        <v>1085</v>
      </c>
      <c r="E293" s="6">
        <f>SUM(E285:E292)</f>
        <v>1</v>
      </c>
    </row>
    <row r="296" spans="1:5" ht="48" customHeight="1" x14ac:dyDescent="0.2">
      <c r="A296" s="4" t="s">
        <v>135</v>
      </c>
      <c r="B296" s="4" t="s">
        <v>37</v>
      </c>
      <c r="C296" s="22" t="s">
        <v>136</v>
      </c>
      <c r="D296" s="5" t="s">
        <v>126</v>
      </c>
      <c r="E296" s="2" t="s">
        <v>16</v>
      </c>
    </row>
    <row r="297" spans="1:5" x14ac:dyDescent="0.2">
      <c r="A297" s="29" t="s">
        <v>137</v>
      </c>
      <c r="B297" s="7">
        <v>737</v>
      </c>
      <c r="C297" s="1">
        <v>127</v>
      </c>
      <c r="D297" s="1">
        <f t="shared" ref="D297:D303" si="16">C297+B297</f>
        <v>864</v>
      </c>
      <c r="E297" s="6">
        <f t="shared" ref="E297:E303" si="17">D297/1085</f>
        <v>0.79631336405529951</v>
      </c>
    </row>
    <row r="298" spans="1:5" x14ac:dyDescent="0.2">
      <c r="A298" s="29" t="s">
        <v>138</v>
      </c>
      <c r="B298" s="7">
        <v>21</v>
      </c>
      <c r="C298" s="1">
        <v>0</v>
      </c>
      <c r="D298" s="1">
        <f t="shared" si="16"/>
        <v>21</v>
      </c>
      <c r="E298" s="6">
        <f t="shared" si="17"/>
        <v>1.935483870967742E-2</v>
      </c>
    </row>
    <row r="299" spans="1:5" x14ac:dyDescent="0.2">
      <c r="A299" s="29" t="s">
        <v>139</v>
      </c>
      <c r="B299" s="7">
        <v>1</v>
      </c>
      <c r="C299" s="1">
        <v>0</v>
      </c>
      <c r="D299" s="1">
        <f t="shared" si="16"/>
        <v>1</v>
      </c>
      <c r="E299" s="6">
        <f t="shared" si="17"/>
        <v>9.2165898617511521E-4</v>
      </c>
    </row>
    <row r="300" spans="1:5" x14ac:dyDescent="0.2">
      <c r="A300" s="29" t="s">
        <v>140</v>
      </c>
      <c r="B300" s="7">
        <v>110</v>
      </c>
      <c r="C300" s="1">
        <v>30</v>
      </c>
      <c r="D300" s="1">
        <f t="shared" si="16"/>
        <v>140</v>
      </c>
      <c r="E300" s="6">
        <f t="shared" si="17"/>
        <v>0.12903225806451613</v>
      </c>
    </row>
    <row r="301" spans="1:5" x14ac:dyDescent="0.2">
      <c r="A301" s="29" t="s">
        <v>141</v>
      </c>
      <c r="B301" s="7">
        <v>3</v>
      </c>
      <c r="C301" s="1">
        <v>0</v>
      </c>
      <c r="D301" s="1">
        <f t="shared" si="16"/>
        <v>3</v>
      </c>
      <c r="E301" s="6">
        <f t="shared" si="17"/>
        <v>2.7649769585253456E-3</v>
      </c>
    </row>
    <row r="302" spans="1:5" x14ac:dyDescent="0.2">
      <c r="A302" s="29" t="s">
        <v>142</v>
      </c>
      <c r="B302" s="7">
        <v>30</v>
      </c>
      <c r="C302" s="17">
        <v>26</v>
      </c>
      <c r="D302" s="1">
        <f t="shared" si="16"/>
        <v>56</v>
      </c>
      <c r="E302" s="6">
        <f t="shared" si="17"/>
        <v>5.1612903225806452E-2</v>
      </c>
    </row>
    <row r="303" spans="1:5" x14ac:dyDescent="0.2">
      <c r="B303" s="1">
        <f>SUM(B297:B302)</f>
        <v>902</v>
      </c>
      <c r="C303" s="1">
        <f>SUM(C297:C302)</f>
        <v>183</v>
      </c>
      <c r="D303" s="1">
        <f t="shared" si="16"/>
        <v>1085</v>
      </c>
      <c r="E303" s="6">
        <f t="shared" si="17"/>
        <v>1</v>
      </c>
    </row>
    <row r="306" spans="1:5" ht="45" customHeight="1" x14ac:dyDescent="0.2">
      <c r="A306" s="4" t="s">
        <v>143</v>
      </c>
      <c r="B306" s="4" t="s">
        <v>37</v>
      </c>
      <c r="C306" s="8" t="s">
        <v>125</v>
      </c>
      <c r="D306" s="5" t="s">
        <v>126</v>
      </c>
      <c r="E306" s="2" t="s">
        <v>16</v>
      </c>
    </row>
    <row r="307" spans="1:5" x14ac:dyDescent="0.2">
      <c r="A307" s="29" t="s">
        <v>60</v>
      </c>
      <c r="B307" s="7">
        <v>139</v>
      </c>
      <c r="C307" s="1">
        <v>31</v>
      </c>
      <c r="D307" s="1">
        <f>C307+B307</f>
        <v>170</v>
      </c>
      <c r="E307" s="6">
        <f>D307/1085</f>
        <v>0.15668202764976957</v>
      </c>
    </row>
    <row r="310" spans="1:5" ht="48" customHeight="1" x14ac:dyDescent="0.2">
      <c r="A310" s="4" t="s">
        <v>144</v>
      </c>
      <c r="B310" s="4" t="s">
        <v>37</v>
      </c>
      <c r="C310" s="8" t="s">
        <v>125</v>
      </c>
      <c r="D310" s="5" t="s">
        <v>126</v>
      </c>
      <c r="E310" s="2" t="s">
        <v>16</v>
      </c>
    </row>
    <row r="311" spans="1:5" x14ac:dyDescent="0.2">
      <c r="A311" s="29" t="s">
        <v>145</v>
      </c>
      <c r="B311" s="7">
        <v>668</v>
      </c>
      <c r="C311" s="1">
        <v>84</v>
      </c>
      <c r="D311" s="10">
        <f>C311+B311</f>
        <v>752</v>
      </c>
      <c r="E311" s="6">
        <f>D311/1085</f>
        <v>0.69308755760368668</v>
      </c>
    </row>
    <row r="312" spans="1:5" x14ac:dyDescent="0.2">
      <c r="A312" s="29" t="s">
        <v>146</v>
      </c>
      <c r="B312" s="7">
        <v>220</v>
      </c>
      <c r="C312" s="1">
        <v>94</v>
      </c>
      <c r="D312" s="10">
        <f>B312+C312</f>
        <v>314</v>
      </c>
      <c r="E312" s="6">
        <f>D312/1085</f>
        <v>0.28940092165898618</v>
      </c>
    </row>
    <row r="313" spans="1:5" x14ac:dyDescent="0.2">
      <c r="A313" s="29" t="s">
        <v>147</v>
      </c>
      <c r="B313" s="7">
        <v>3</v>
      </c>
      <c r="C313" s="1">
        <v>1</v>
      </c>
      <c r="D313" s="10">
        <f>B313+C313</f>
        <v>4</v>
      </c>
      <c r="E313" s="6">
        <f>D313/1085</f>
        <v>3.6866359447004608E-3</v>
      </c>
    </row>
    <row r="314" spans="1:5" x14ac:dyDescent="0.2">
      <c r="A314" s="29" t="s">
        <v>148</v>
      </c>
      <c r="B314" s="7">
        <v>11</v>
      </c>
      <c r="C314" s="1">
        <v>4</v>
      </c>
      <c r="D314" s="10">
        <f>B314+C314</f>
        <v>15</v>
      </c>
      <c r="E314" s="6">
        <f>D314/1085</f>
        <v>1.3824884792626729E-2</v>
      </c>
    </row>
    <row r="315" spans="1:5" x14ac:dyDescent="0.2">
      <c r="B315" s="1">
        <f>SUM(B311:B314)</f>
        <v>902</v>
      </c>
      <c r="C315" s="1">
        <f>SUM(C311:C314)</f>
        <v>183</v>
      </c>
      <c r="D315" s="1">
        <f>SUM(D311:D314)</f>
        <v>1085</v>
      </c>
      <c r="E315" s="6">
        <f>SUM(E311:E314)</f>
        <v>1</v>
      </c>
    </row>
    <row r="317" spans="1:5" ht="36" x14ac:dyDescent="0.2">
      <c r="A317" s="18" t="s">
        <v>244</v>
      </c>
      <c r="B317" s="18" t="s">
        <v>241</v>
      </c>
      <c r="C317" s="18" t="s">
        <v>242</v>
      </c>
      <c r="D317" s="18" t="s">
        <v>208</v>
      </c>
      <c r="E317" s="5" t="s">
        <v>243</v>
      </c>
    </row>
    <row r="318" spans="1:5" x14ac:dyDescent="0.2">
      <c r="A318" s="31" t="s">
        <v>226</v>
      </c>
      <c r="B318" s="13">
        <v>40</v>
      </c>
      <c r="C318" s="13">
        <v>845</v>
      </c>
      <c r="D318" s="13">
        <v>944</v>
      </c>
      <c r="E318" s="6">
        <f>C318/D318</f>
        <v>0.8951271186440678</v>
      </c>
    </row>
    <row r="319" spans="1:5" x14ac:dyDescent="0.2">
      <c r="A319" s="31" t="s">
        <v>209</v>
      </c>
      <c r="B319" s="13">
        <v>31</v>
      </c>
      <c r="C319" s="13">
        <v>1077</v>
      </c>
      <c r="D319" s="13">
        <v>1134</v>
      </c>
      <c r="E319" s="6">
        <f>C319/D319</f>
        <v>0.94973544973544977</v>
      </c>
    </row>
    <row r="320" spans="1:5" x14ac:dyDescent="0.2">
      <c r="A320" s="31" t="s">
        <v>210</v>
      </c>
      <c r="B320" s="13">
        <v>27</v>
      </c>
      <c r="C320" s="13">
        <v>562</v>
      </c>
      <c r="D320" s="13">
        <v>562</v>
      </c>
      <c r="E320" s="6">
        <f>C320/D320</f>
        <v>1</v>
      </c>
    </row>
    <row r="321" spans="1:5" x14ac:dyDescent="0.2">
      <c r="A321" s="31" t="s">
        <v>211</v>
      </c>
      <c r="B321" s="13">
        <v>10</v>
      </c>
      <c r="C321" s="13">
        <v>257</v>
      </c>
      <c r="D321" s="13">
        <v>305</v>
      </c>
      <c r="E321" s="6">
        <f>C321/D321</f>
        <v>0.84262295081967209</v>
      </c>
    </row>
    <row r="322" spans="1:5" x14ac:dyDescent="0.2">
      <c r="A322" s="13" t="s">
        <v>43</v>
      </c>
      <c r="B322" s="13">
        <f>SUM(B318:B321)</f>
        <v>108</v>
      </c>
      <c r="C322" s="13">
        <f>SUM(C318:C321)</f>
        <v>2741</v>
      </c>
      <c r="D322" s="13">
        <f>SUM(D318:D321)</f>
        <v>2945</v>
      </c>
      <c r="E322" s="6">
        <f>C322/D322</f>
        <v>0.93073005093378602</v>
      </c>
    </row>
    <row r="323" spans="1:5" x14ac:dyDescent="0.2">
      <c r="D323" s="6"/>
    </row>
  </sheetData>
  <printOptions horizontalCentered="1"/>
  <pageMargins left="0.7" right="0.7" top="0.75" bottom="0.75" header="0.3" footer="0.3"/>
  <pageSetup orientation="portrait" horizontalDpi="4294967293" verticalDpi="4294967293" r:id="rId1"/>
  <headerFooter>
    <oddHeader>&amp;L&amp;"-,Bold"&amp;8Summary
All Counties&amp;C&amp;"-,Bold"&amp;8AZ Balance of State
Continuum of Care
2018 Point In Time Data Report &amp;R&amp;"-,Bold"&amp;8&amp;P of &amp;N
&amp;D</oddHeader>
  </headerFooter>
  <rowBreaks count="5" manualBreakCount="5">
    <brk id="39" max="4" man="1"/>
    <brk id="85" max="4" man="1"/>
    <brk id="140" max="4" man="1"/>
    <brk id="193" max="4" man="1"/>
    <brk id="24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zoomScale="130" zoomScaleNormal="130" workbookViewId="0">
      <selection activeCell="A3" sqref="A3"/>
    </sheetView>
  </sheetViews>
  <sheetFormatPr defaultColWidth="8.85546875" defaultRowHeight="12" x14ac:dyDescent="0.2"/>
  <cols>
    <col min="1" max="1" width="8.85546875" style="136"/>
    <col min="2" max="2" width="23.5703125" style="136" customWidth="1"/>
    <col min="3" max="3" width="11.140625" style="136" customWidth="1"/>
    <col min="4" max="16384" width="8.85546875" style="136"/>
  </cols>
  <sheetData>
    <row r="1" spans="1:4" x14ac:dyDescent="0.2">
      <c r="A1" s="88" t="s">
        <v>11</v>
      </c>
      <c r="B1" s="88" t="s">
        <v>175</v>
      </c>
      <c r="C1" s="135" t="s">
        <v>228</v>
      </c>
      <c r="D1" s="39" t="s">
        <v>3</v>
      </c>
    </row>
    <row r="2" spans="1:4" x14ac:dyDescent="0.2">
      <c r="A2" s="36" t="s">
        <v>24</v>
      </c>
      <c r="B2" s="37">
        <v>280</v>
      </c>
      <c r="C2" s="136">
        <v>40</v>
      </c>
      <c r="D2" s="136">
        <f>SUM(B2:C2)</f>
        <v>320</v>
      </c>
    </row>
    <row r="5" spans="1:4" x14ac:dyDescent="0.2">
      <c r="A5" s="88" t="s">
        <v>11</v>
      </c>
      <c r="B5" s="88" t="s">
        <v>30</v>
      </c>
      <c r="C5" s="88" t="s">
        <v>232</v>
      </c>
      <c r="D5" s="135" t="s">
        <v>16</v>
      </c>
    </row>
    <row r="6" spans="1:4" x14ac:dyDescent="0.2">
      <c r="A6" s="36" t="s">
        <v>24</v>
      </c>
      <c r="B6" s="36" t="s">
        <v>270</v>
      </c>
      <c r="C6" s="37">
        <v>78</v>
      </c>
      <c r="D6" s="133">
        <f>C6/280</f>
        <v>0.27857142857142858</v>
      </c>
    </row>
    <row r="7" spans="1:4" x14ac:dyDescent="0.2">
      <c r="A7" s="36" t="s">
        <v>24</v>
      </c>
      <c r="B7" s="36" t="s">
        <v>271</v>
      </c>
      <c r="C7" s="37">
        <v>2</v>
      </c>
      <c r="D7" s="133">
        <f t="shared" ref="D7:D14" si="0">C7/280</f>
        <v>7.1428571428571426E-3</v>
      </c>
    </row>
    <row r="8" spans="1:4" x14ac:dyDescent="0.2">
      <c r="A8" s="36" t="s">
        <v>24</v>
      </c>
      <c r="B8" s="36" t="s">
        <v>272</v>
      </c>
      <c r="C8" s="37">
        <v>14</v>
      </c>
      <c r="D8" s="133">
        <f t="shared" si="0"/>
        <v>0.05</v>
      </c>
    </row>
    <row r="9" spans="1:4" x14ac:dyDescent="0.2">
      <c r="A9" s="36" t="s">
        <v>24</v>
      </c>
      <c r="B9" s="36" t="s">
        <v>273</v>
      </c>
      <c r="C9" s="37">
        <v>3</v>
      </c>
      <c r="D9" s="133">
        <f t="shared" si="0"/>
        <v>1.0714285714285714E-2</v>
      </c>
    </row>
    <row r="10" spans="1:4" x14ac:dyDescent="0.2">
      <c r="A10" s="36" t="s">
        <v>24</v>
      </c>
      <c r="B10" s="36" t="s">
        <v>274</v>
      </c>
      <c r="C10" s="37">
        <v>1</v>
      </c>
      <c r="D10" s="133">
        <f t="shared" si="0"/>
        <v>3.5714285714285713E-3</v>
      </c>
    </row>
    <row r="11" spans="1:4" x14ac:dyDescent="0.2">
      <c r="A11" s="36" t="s">
        <v>24</v>
      </c>
      <c r="B11" s="36" t="s">
        <v>275</v>
      </c>
      <c r="C11" s="37">
        <v>85</v>
      </c>
      <c r="D11" s="133">
        <f t="shared" si="0"/>
        <v>0.30357142857142855</v>
      </c>
    </row>
    <row r="12" spans="1:4" x14ac:dyDescent="0.2">
      <c r="A12" s="36" t="s">
        <v>24</v>
      </c>
      <c r="B12" s="36" t="s">
        <v>264</v>
      </c>
      <c r="C12" s="37">
        <v>93</v>
      </c>
      <c r="D12" s="133">
        <f t="shared" si="0"/>
        <v>0.33214285714285713</v>
      </c>
    </row>
    <row r="13" spans="1:4" x14ac:dyDescent="0.2">
      <c r="A13" s="36" t="s">
        <v>24</v>
      </c>
      <c r="B13" s="36" t="s">
        <v>276</v>
      </c>
      <c r="C13" s="37">
        <v>3</v>
      </c>
      <c r="D13" s="133">
        <f t="shared" si="0"/>
        <v>1.0714285714285714E-2</v>
      </c>
    </row>
    <row r="14" spans="1:4" x14ac:dyDescent="0.2">
      <c r="A14" s="36" t="s">
        <v>24</v>
      </c>
      <c r="B14" s="36" t="s">
        <v>277</v>
      </c>
      <c r="C14" s="37">
        <v>1</v>
      </c>
      <c r="D14" s="133">
        <f t="shared" si="0"/>
        <v>3.5714285714285713E-3</v>
      </c>
    </row>
    <row r="15" spans="1:4" x14ac:dyDescent="0.2">
      <c r="C15" s="136">
        <f>SUM(C6:C14)</f>
        <v>280</v>
      </c>
      <c r="D15" s="133">
        <f>SUM(D6:D14)</f>
        <v>0.99999999999999978</v>
      </c>
    </row>
    <row r="17" spans="1:4" x14ac:dyDescent="0.2">
      <c r="A17" s="38" t="s">
        <v>11</v>
      </c>
      <c r="B17" s="38" t="s">
        <v>36</v>
      </c>
      <c r="C17" s="38" t="s">
        <v>250</v>
      </c>
      <c r="D17" s="39" t="s">
        <v>16</v>
      </c>
    </row>
    <row r="18" spans="1:4" x14ac:dyDescent="0.2">
      <c r="A18" s="40" t="s">
        <v>24</v>
      </c>
      <c r="B18" s="40" t="s">
        <v>201</v>
      </c>
      <c r="C18" s="41">
        <v>256</v>
      </c>
      <c r="D18" s="133">
        <f t="shared" ref="D18:D20" si="1">C18/280</f>
        <v>0.91428571428571426</v>
      </c>
    </row>
    <row r="19" spans="1:4" x14ac:dyDescent="0.2">
      <c r="A19" s="40" t="s">
        <v>24</v>
      </c>
      <c r="B19" s="40" t="s">
        <v>41</v>
      </c>
      <c r="C19" s="41">
        <v>18</v>
      </c>
      <c r="D19" s="133">
        <f t="shared" si="1"/>
        <v>6.4285714285714279E-2</v>
      </c>
    </row>
    <row r="20" spans="1:4" x14ac:dyDescent="0.2">
      <c r="A20" s="40" t="s">
        <v>24</v>
      </c>
      <c r="B20" s="40" t="s">
        <v>42</v>
      </c>
      <c r="C20" s="41">
        <v>6</v>
      </c>
      <c r="D20" s="133">
        <f t="shared" si="1"/>
        <v>2.1428571428571429E-2</v>
      </c>
    </row>
    <row r="21" spans="1:4" x14ac:dyDescent="0.2">
      <c r="C21" s="136">
        <f>SUM(C18:C20)</f>
        <v>280</v>
      </c>
      <c r="D21" s="133">
        <f>SUM(D18:D20)</f>
        <v>1</v>
      </c>
    </row>
    <row r="23" spans="1:4" x14ac:dyDescent="0.2">
      <c r="A23" s="93" t="s">
        <v>11</v>
      </c>
      <c r="B23" s="93" t="s">
        <v>44</v>
      </c>
      <c r="C23" s="93" t="s">
        <v>37</v>
      </c>
      <c r="D23" s="39" t="s">
        <v>16</v>
      </c>
    </row>
    <row r="24" spans="1:4" x14ac:dyDescent="0.2">
      <c r="A24" s="43" t="s">
        <v>24</v>
      </c>
      <c r="B24" s="43" t="s">
        <v>45</v>
      </c>
      <c r="C24" s="44">
        <v>6</v>
      </c>
      <c r="D24" s="133">
        <f t="shared" ref="D24:D31" si="2">C24/280</f>
        <v>2.1428571428571429E-2</v>
      </c>
    </row>
    <row r="25" spans="1:4" x14ac:dyDescent="0.2">
      <c r="A25" s="43" t="s">
        <v>24</v>
      </c>
      <c r="B25" s="43" t="s">
        <v>46</v>
      </c>
      <c r="C25" s="44">
        <v>23</v>
      </c>
      <c r="D25" s="133">
        <f t="shared" si="2"/>
        <v>8.2142857142857142E-2</v>
      </c>
    </row>
    <row r="26" spans="1:4" x14ac:dyDescent="0.2">
      <c r="A26" s="43" t="s">
        <v>24</v>
      </c>
      <c r="B26" s="43" t="s">
        <v>47</v>
      </c>
      <c r="C26" s="44">
        <v>140</v>
      </c>
      <c r="D26" s="133">
        <f t="shared" si="2"/>
        <v>0.5</v>
      </c>
    </row>
    <row r="27" spans="1:4" x14ac:dyDescent="0.2">
      <c r="A27" s="43" t="s">
        <v>24</v>
      </c>
      <c r="B27" s="43" t="s">
        <v>48</v>
      </c>
      <c r="C27" s="44">
        <v>7</v>
      </c>
      <c r="D27" s="133">
        <f t="shared" si="2"/>
        <v>2.5000000000000001E-2</v>
      </c>
    </row>
    <row r="28" spans="1:4" x14ac:dyDescent="0.2">
      <c r="A28" s="43" t="s">
        <v>24</v>
      </c>
      <c r="B28" s="43" t="s">
        <v>49</v>
      </c>
      <c r="C28" s="44">
        <v>8</v>
      </c>
      <c r="D28" s="133">
        <f t="shared" si="2"/>
        <v>2.8571428571428571E-2</v>
      </c>
    </row>
    <row r="29" spans="1:4" x14ac:dyDescent="0.2">
      <c r="A29" s="43" t="s">
        <v>24</v>
      </c>
      <c r="B29" s="43" t="s">
        <v>50</v>
      </c>
      <c r="C29" s="44">
        <v>2</v>
      </c>
      <c r="D29" s="133">
        <f t="shared" si="2"/>
        <v>7.1428571428571426E-3</v>
      </c>
    </row>
    <row r="30" spans="1:4" x14ac:dyDescent="0.2">
      <c r="A30" s="43" t="s">
        <v>24</v>
      </c>
      <c r="B30" s="43" t="s">
        <v>51</v>
      </c>
      <c r="C30" s="44">
        <v>28</v>
      </c>
      <c r="D30" s="133">
        <f t="shared" si="2"/>
        <v>0.1</v>
      </c>
    </row>
    <row r="31" spans="1:4" x14ac:dyDescent="0.2">
      <c r="A31" s="43" t="s">
        <v>24</v>
      </c>
      <c r="B31" s="43" t="s">
        <v>52</v>
      </c>
      <c r="C31" s="44">
        <v>66</v>
      </c>
      <c r="D31" s="133">
        <f t="shared" si="2"/>
        <v>0.23571428571428571</v>
      </c>
    </row>
    <row r="32" spans="1:4" x14ac:dyDescent="0.2">
      <c r="C32" s="136">
        <f>SUM(C24:C31)</f>
        <v>280</v>
      </c>
      <c r="D32" s="133">
        <f>SUM(D24:D31)</f>
        <v>1</v>
      </c>
    </row>
    <row r="34" spans="1:4" ht="24" x14ac:dyDescent="0.2">
      <c r="A34" s="45" t="s">
        <v>11</v>
      </c>
      <c r="B34" s="45" t="s">
        <v>176</v>
      </c>
      <c r="C34" s="45" t="s">
        <v>37</v>
      </c>
      <c r="D34" s="117" t="s">
        <v>16</v>
      </c>
    </row>
    <row r="35" spans="1:4" x14ac:dyDescent="0.2">
      <c r="A35" s="46" t="s">
        <v>24</v>
      </c>
      <c r="B35" s="46" t="s">
        <v>54</v>
      </c>
      <c r="C35" s="47">
        <v>51</v>
      </c>
      <c r="D35" s="133">
        <f t="shared" ref="D35:D40" si="3">C35/280</f>
        <v>0.18214285714285713</v>
      </c>
    </row>
    <row r="36" spans="1:4" x14ac:dyDescent="0.2">
      <c r="A36" s="46" t="s">
        <v>24</v>
      </c>
      <c r="B36" s="46" t="s">
        <v>55</v>
      </c>
      <c r="C36" s="47">
        <v>12</v>
      </c>
      <c r="D36" s="133">
        <f t="shared" si="3"/>
        <v>4.2857142857142858E-2</v>
      </c>
    </row>
    <row r="37" spans="1:4" x14ac:dyDescent="0.2">
      <c r="A37" s="46" t="s">
        <v>24</v>
      </c>
      <c r="B37" s="46" t="s">
        <v>57</v>
      </c>
      <c r="C37" s="47">
        <v>17</v>
      </c>
      <c r="D37" s="133">
        <f t="shared" si="3"/>
        <v>6.0714285714285714E-2</v>
      </c>
    </row>
    <row r="38" spans="1:4" x14ac:dyDescent="0.2">
      <c r="A38" s="46" t="s">
        <v>24</v>
      </c>
      <c r="B38" s="46" t="s">
        <v>53</v>
      </c>
      <c r="C38" s="47">
        <v>14</v>
      </c>
      <c r="D38" s="133">
        <f t="shared" si="3"/>
        <v>0.05</v>
      </c>
    </row>
    <row r="39" spans="1:4" x14ac:dyDescent="0.2">
      <c r="A39" s="46" t="s">
        <v>24</v>
      </c>
      <c r="B39" s="46" t="s">
        <v>56</v>
      </c>
      <c r="C39" s="47">
        <v>182</v>
      </c>
      <c r="D39" s="133">
        <f t="shared" si="3"/>
        <v>0.65</v>
      </c>
    </row>
    <row r="40" spans="1:4" x14ac:dyDescent="0.2">
      <c r="A40" s="46" t="s">
        <v>24</v>
      </c>
      <c r="B40" s="46" t="s">
        <v>58</v>
      </c>
      <c r="C40" s="47">
        <v>4</v>
      </c>
      <c r="D40" s="133">
        <f t="shared" si="3"/>
        <v>1.4285714285714285E-2</v>
      </c>
    </row>
    <row r="41" spans="1:4" x14ac:dyDescent="0.2">
      <c r="C41" s="136">
        <f>SUM(C35:C40)</f>
        <v>280</v>
      </c>
      <c r="D41" s="133">
        <f>SUM(D35:D40)</f>
        <v>1</v>
      </c>
    </row>
    <row r="43" spans="1:4" x14ac:dyDescent="0.2">
      <c r="A43" s="48" t="s">
        <v>11</v>
      </c>
      <c r="B43" s="48" t="s">
        <v>177</v>
      </c>
      <c r="C43" s="48" t="s">
        <v>37</v>
      </c>
      <c r="D43" s="117" t="s">
        <v>16</v>
      </c>
    </row>
    <row r="44" spans="1:4" x14ac:dyDescent="0.2">
      <c r="A44" s="49" t="s">
        <v>24</v>
      </c>
      <c r="B44" s="49" t="s">
        <v>178</v>
      </c>
      <c r="C44" s="50">
        <v>13</v>
      </c>
      <c r="D44" s="133">
        <f t="shared" ref="D44:D50" si="4">C44/280</f>
        <v>4.642857142857143E-2</v>
      </c>
    </row>
    <row r="45" spans="1:4" x14ac:dyDescent="0.2">
      <c r="A45" s="49" t="s">
        <v>24</v>
      </c>
      <c r="B45" s="49" t="s">
        <v>179</v>
      </c>
      <c r="C45" s="50">
        <v>8</v>
      </c>
      <c r="D45" s="133">
        <f t="shared" si="4"/>
        <v>2.8571428571428571E-2</v>
      </c>
    </row>
    <row r="46" spans="1:4" x14ac:dyDescent="0.2">
      <c r="A46" s="49" t="s">
        <v>24</v>
      </c>
      <c r="B46" s="49" t="s">
        <v>180</v>
      </c>
      <c r="C46" s="50">
        <v>27</v>
      </c>
      <c r="D46" s="133">
        <f t="shared" si="4"/>
        <v>9.6428571428571433E-2</v>
      </c>
    </row>
    <row r="47" spans="1:4" x14ac:dyDescent="0.2">
      <c r="A47" s="49" t="s">
        <v>24</v>
      </c>
      <c r="B47" s="49" t="s">
        <v>181</v>
      </c>
      <c r="C47" s="50">
        <v>42</v>
      </c>
      <c r="D47" s="133">
        <f t="shared" si="4"/>
        <v>0.15</v>
      </c>
    </row>
    <row r="48" spans="1:4" ht="24" x14ac:dyDescent="0.2">
      <c r="A48" s="49" t="s">
        <v>24</v>
      </c>
      <c r="B48" s="49" t="s">
        <v>214</v>
      </c>
      <c r="C48" s="50">
        <v>36</v>
      </c>
      <c r="D48" s="133">
        <f t="shared" si="4"/>
        <v>0.12857142857142856</v>
      </c>
    </row>
    <row r="49" spans="1:4" x14ac:dyDescent="0.2">
      <c r="A49" s="49" t="s">
        <v>24</v>
      </c>
      <c r="B49" s="49" t="s">
        <v>182</v>
      </c>
      <c r="C49" s="50">
        <v>87</v>
      </c>
      <c r="D49" s="133">
        <f t="shared" si="4"/>
        <v>0.31071428571428572</v>
      </c>
    </row>
    <row r="50" spans="1:4" x14ac:dyDescent="0.2">
      <c r="A50" s="49" t="s">
        <v>24</v>
      </c>
      <c r="B50" s="49" t="s">
        <v>215</v>
      </c>
      <c r="C50" s="50">
        <v>67</v>
      </c>
      <c r="D50" s="133">
        <f t="shared" si="4"/>
        <v>0.2392857142857143</v>
      </c>
    </row>
    <row r="51" spans="1:4" x14ac:dyDescent="0.2">
      <c r="C51" s="136">
        <f>SUM(C44:C50)</f>
        <v>280</v>
      </c>
      <c r="D51" s="133">
        <f>SUM(D44:D50)</f>
        <v>1</v>
      </c>
    </row>
    <row r="53" spans="1:4" x14ac:dyDescent="0.2">
      <c r="A53" s="34" t="s">
        <v>11</v>
      </c>
      <c r="B53" s="34" t="s">
        <v>183</v>
      </c>
      <c r="C53" s="34" t="s">
        <v>37</v>
      </c>
      <c r="D53" s="117" t="s">
        <v>16</v>
      </c>
    </row>
    <row r="54" spans="1:4" x14ac:dyDescent="0.2">
      <c r="A54" s="36" t="s">
        <v>24</v>
      </c>
      <c r="B54" s="36" t="s">
        <v>60</v>
      </c>
      <c r="C54" s="37">
        <v>120</v>
      </c>
      <c r="D54" s="133">
        <f t="shared" ref="D54" si="5">C54/280</f>
        <v>0.42857142857142855</v>
      </c>
    </row>
    <row r="56" spans="1:4" x14ac:dyDescent="0.2">
      <c r="A56" s="34" t="s">
        <v>11</v>
      </c>
      <c r="B56" s="34" t="s">
        <v>61</v>
      </c>
      <c r="C56" s="34" t="s">
        <v>37</v>
      </c>
      <c r="D56" s="117" t="s">
        <v>16</v>
      </c>
    </row>
    <row r="57" spans="1:4" x14ac:dyDescent="0.2">
      <c r="A57" s="36" t="s">
        <v>24</v>
      </c>
      <c r="B57" s="36" t="s">
        <v>216</v>
      </c>
      <c r="C57" s="37">
        <v>52</v>
      </c>
      <c r="D57" s="133">
        <f t="shared" ref="D57:D67" si="6">C57/280</f>
        <v>0.18571428571428572</v>
      </c>
    </row>
    <row r="58" spans="1:4" x14ac:dyDescent="0.2">
      <c r="A58" s="36" t="s">
        <v>24</v>
      </c>
      <c r="B58" s="36" t="s">
        <v>184</v>
      </c>
      <c r="C58" s="37">
        <v>31</v>
      </c>
      <c r="D58" s="133">
        <f t="shared" si="6"/>
        <v>0.11071428571428571</v>
      </c>
    </row>
    <row r="59" spans="1:4" x14ac:dyDescent="0.2">
      <c r="A59" s="36" t="s">
        <v>24</v>
      </c>
      <c r="B59" s="36" t="s">
        <v>185</v>
      </c>
      <c r="C59" s="37">
        <v>16</v>
      </c>
      <c r="D59" s="133">
        <f t="shared" si="6"/>
        <v>5.7142857142857141E-2</v>
      </c>
    </row>
    <row r="60" spans="1:4" x14ac:dyDescent="0.2">
      <c r="A60" s="36" t="s">
        <v>24</v>
      </c>
      <c r="B60" s="36" t="s">
        <v>217</v>
      </c>
      <c r="C60" s="37">
        <v>9</v>
      </c>
      <c r="D60" s="133">
        <f t="shared" si="6"/>
        <v>3.214285714285714E-2</v>
      </c>
    </row>
    <row r="61" spans="1:4" x14ac:dyDescent="0.2">
      <c r="A61" s="36" t="s">
        <v>24</v>
      </c>
      <c r="B61" s="36" t="s">
        <v>267</v>
      </c>
      <c r="C61" s="37">
        <v>1</v>
      </c>
      <c r="D61" s="133">
        <f t="shared" si="6"/>
        <v>3.5714285714285713E-3</v>
      </c>
    </row>
    <row r="62" spans="1:4" x14ac:dyDescent="0.2">
      <c r="A62" s="36" t="s">
        <v>24</v>
      </c>
      <c r="B62" s="36" t="s">
        <v>218</v>
      </c>
      <c r="C62" s="37">
        <v>1</v>
      </c>
      <c r="D62" s="133">
        <f t="shared" si="6"/>
        <v>3.5714285714285713E-3</v>
      </c>
    </row>
    <row r="63" spans="1:4" x14ac:dyDescent="0.2">
      <c r="A63" s="36" t="s">
        <v>24</v>
      </c>
      <c r="B63" s="36" t="s">
        <v>233</v>
      </c>
      <c r="C63" s="37">
        <v>1</v>
      </c>
      <c r="D63" s="133">
        <f t="shared" si="6"/>
        <v>3.5714285714285713E-3</v>
      </c>
    </row>
    <row r="64" spans="1:4" x14ac:dyDescent="0.2">
      <c r="A64" s="36" t="s">
        <v>24</v>
      </c>
      <c r="B64" s="36" t="s">
        <v>278</v>
      </c>
      <c r="C64" s="37">
        <v>1</v>
      </c>
      <c r="D64" s="133">
        <f t="shared" si="6"/>
        <v>3.5714285714285713E-3</v>
      </c>
    </row>
    <row r="65" spans="1:4" x14ac:dyDescent="0.2">
      <c r="A65" s="36" t="s">
        <v>24</v>
      </c>
      <c r="B65" s="36" t="s">
        <v>268</v>
      </c>
      <c r="C65" s="37">
        <v>1</v>
      </c>
      <c r="D65" s="133">
        <f t="shared" si="6"/>
        <v>3.5714285714285713E-3</v>
      </c>
    </row>
    <row r="66" spans="1:4" x14ac:dyDescent="0.2">
      <c r="A66" s="36" t="s">
        <v>24</v>
      </c>
      <c r="B66" s="36" t="s">
        <v>279</v>
      </c>
      <c r="C66" s="37">
        <v>1</v>
      </c>
      <c r="D66" s="133">
        <f t="shared" si="6"/>
        <v>3.5714285714285713E-3</v>
      </c>
    </row>
    <row r="67" spans="1:4" x14ac:dyDescent="0.2">
      <c r="A67" s="136" t="s">
        <v>24</v>
      </c>
      <c r="B67" s="136" t="s">
        <v>33</v>
      </c>
      <c r="C67" s="136">
        <v>46</v>
      </c>
      <c r="D67" s="133">
        <f t="shared" si="6"/>
        <v>0.16428571428571428</v>
      </c>
    </row>
    <row r="68" spans="1:4" x14ac:dyDescent="0.2">
      <c r="C68" s="136">
        <f>SUM(C57:C67)</f>
        <v>160</v>
      </c>
      <c r="D68" s="133">
        <f>SUM(D57:D67)</f>
        <v>0.5714285714285714</v>
      </c>
    </row>
    <row r="69" spans="1:4" x14ac:dyDescent="0.2">
      <c r="A69" s="121"/>
      <c r="B69" s="122" t="s">
        <v>63</v>
      </c>
      <c r="C69" s="121"/>
      <c r="D69" s="121"/>
    </row>
    <row r="70" spans="1:4" x14ac:dyDescent="0.2">
      <c r="A70" s="42" t="s">
        <v>11</v>
      </c>
      <c r="B70" s="42" t="s">
        <v>64</v>
      </c>
      <c r="C70" s="42" t="s">
        <v>186</v>
      </c>
      <c r="D70" s="117" t="s">
        <v>16</v>
      </c>
    </row>
    <row r="71" spans="1:4" ht="24" x14ac:dyDescent="0.2">
      <c r="A71" s="43" t="s">
        <v>24</v>
      </c>
      <c r="B71" s="43" t="s">
        <v>65</v>
      </c>
      <c r="C71" s="44">
        <v>120</v>
      </c>
      <c r="D71" s="119">
        <f>C71/450</f>
        <v>0.26666666666666666</v>
      </c>
    </row>
    <row r="72" spans="1:4" x14ac:dyDescent="0.2">
      <c r="A72" s="43" t="s">
        <v>24</v>
      </c>
      <c r="B72" s="43" t="s">
        <v>74</v>
      </c>
      <c r="C72" s="44">
        <v>46</v>
      </c>
      <c r="D72" s="119">
        <f t="shared" ref="D72:D83" si="7">C72/450</f>
        <v>0.10222222222222223</v>
      </c>
    </row>
    <row r="73" spans="1:4" x14ac:dyDescent="0.2">
      <c r="A73" s="43" t="s">
        <v>24</v>
      </c>
      <c r="B73" s="43" t="s">
        <v>220</v>
      </c>
      <c r="C73" s="44">
        <v>7</v>
      </c>
      <c r="D73" s="119">
        <f t="shared" si="7"/>
        <v>1.5555555555555555E-2</v>
      </c>
    </row>
    <row r="74" spans="1:4" x14ac:dyDescent="0.2">
      <c r="A74" s="43" t="s">
        <v>24</v>
      </c>
      <c r="B74" s="43" t="s">
        <v>76</v>
      </c>
      <c r="C74" s="44">
        <v>48</v>
      </c>
      <c r="D74" s="119">
        <f t="shared" si="7"/>
        <v>0.10666666666666667</v>
      </c>
    </row>
    <row r="75" spans="1:4" x14ac:dyDescent="0.2">
      <c r="A75" s="43" t="s">
        <v>24</v>
      </c>
      <c r="B75" s="43" t="s">
        <v>77</v>
      </c>
      <c r="C75" s="44">
        <v>10</v>
      </c>
      <c r="D75" s="119">
        <f t="shared" si="7"/>
        <v>2.2222222222222223E-2</v>
      </c>
    </row>
    <row r="76" spans="1:4" x14ac:dyDescent="0.2">
      <c r="A76" s="43" t="s">
        <v>24</v>
      </c>
      <c r="B76" s="43" t="s">
        <v>66</v>
      </c>
      <c r="C76" s="44">
        <v>23</v>
      </c>
      <c r="D76" s="119">
        <f t="shared" si="7"/>
        <v>5.1111111111111114E-2</v>
      </c>
    </row>
    <row r="77" spans="1:4" x14ac:dyDescent="0.2">
      <c r="A77" s="43" t="s">
        <v>24</v>
      </c>
      <c r="B77" s="43" t="s">
        <v>67</v>
      </c>
      <c r="C77" s="44">
        <v>1</v>
      </c>
      <c r="D77" s="119">
        <f t="shared" si="7"/>
        <v>2.2222222222222222E-3</v>
      </c>
    </row>
    <row r="78" spans="1:4" x14ac:dyDescent="0.2">
      <c r="A78" s="43" t="s">
        <v>24</v>
      </c>
      <c r="B78" s="43" t="s">
        <v>68</v>
      </c>
      <c r="C78" s="44">
        <v>72</v>
      </c>
      <c r="D78" s="119">
        <f t="shared" si="7"/>
        <v>0.16</v>
      </c>
    </row>
    <row r="79" spans="1:4" x14ac:dyDescent="0.2">
      <c r="A79" s="43" t="s">
        <v>24</v>
      </c>
      <c r="B79" s="43" t="s">
        <v>69</v>
      </c>
      <c r="C79" s="44">
        <v>7</v>
      </c>
      <c r="D79" s="119">
        <f t="shared" si="7"/>
        <v>1.5555555555555555E-2</v>
      </c>
    </row>
    <row r="80" spans="1:4" x14ac:dyDescent="0.2">
      <c r="A80" s="43" t="s">
        <v>24</v>
      </c>
      <c r="B80" s="43" t="s">
        <v>70</v>
      </c>
      <c r="C80" s="44">
        <v>22</v>
      </c>
      <c r="D80" s="119">
        <f t="shared" si="7"/>
        <v>4.8888888888888891E-2</v>
      </c>
    </row>
    <row r="81" spans="1:4" x14ac:dyDescent="0.2">
      <c r="A81" s="43" t="s">
        <v>24</v>
      </c>
      <c r="B81" s="43" t="s">
        <v>71</v>
      </c>
      <c r="C81" s="44">
        <v>52</v>
      </c>
      <c r="D81" s="119">
        <f t="shared" si="7"/>
        <v>0.11555555555555555</v>
      </c>
    </row>
    <row r="82" spans="1:4" x14ac:dyDescent="0.2">
      <c r="A82" s="43" t="s">
        <v>24</v>
      </c>
      <c r="B82" s="43" t="s">
        <v>72</v>
      </c>
      <c r="C82" s="44">
        <v>36</v>
      </c>
      <c r="D82" s="119">
        <f t="shared" si="7"/>
        <v>0.08</v>
      </c>
    </row>
    <row r="83" spans="1:4" x14ac:dyDescent="0.2">
      <c r="A83" s="43" t="s">
        <v>24</v>
      </c>
      <c r="B83" s="43" t="s">
        <v>73</v>
      </c>
      <c r="C83" s="44">
        <v>6</v>
      </c>
      <c r="D83" s="119">
        <f t="shared" si="7"/>
        <v>1.3333333333333334E-2</v>
      </c>
    </row>
    <row r="84" spans="1:4" x14ac:dyDescent="0.2">
      <c r="C84" s="136">
        <f>SUM(C71:C83)</f>
        <v>450</v>
      </c>
      <c r="D84" s="133">
        <f>SUM(D71:D83)</f>
        <v>0.99999999999999989</v>
      </c>
    </row>
    <row r="86" spans="1:4" x14ac:dyDescent="0.2">
      <c r="B86" s="122" t="s">
        <v>63</v>
      </c>
    </row>
    <row r="87" spans="1:4" x14ac:dyDescent="0.2">
      <c r="A87" s="95" t="s">
        <v>11</v>
      </c>
      <c r="B87" s="95" t="s">
        <v>187</v>
      </c>
      <c r="C87" s="95" t="s">
        <v>37</v>
      </c>
      <c r="D87" s="39" t="s">
        <v>16</v>
      </c>
    </row>
    <row r="88" spans="1:4" x14ac:dyDescent="0.2">
      <c r="A88" s="46" t="s">
        <v>24</v>
      </c>
      <c r="B88" s="46" t="s">
        <v>174</v>
      </c>
      <c r="C88" s="47">
        <v>74</v>
      </c>
      <c r="D88" s="133">
        <f>C88/350</f>
        <v>0.21142857142857144</v>
      </c>
    </row>
    <row r="89" spans="1:4" x14ac:dyDescent="0.2">
      <c r="A89" s="46" t="s">
        <v>24</v>
      </c>
      <c r="B89" s="46" t="s">
        <v>81</v>
      </c>
      <c r="C89" s="47">
        <v>56</v>
      </c>
      <c r="D89" s="133">
        <f t="shared" ref="D89:D92" si="8">C89/350</f>
        <v>0.16</v>
      </c>
    </row>
    <row r="90" spans="1:4" x14ac:dyDescent="0.2">
      <c r="A90" s="46" t="s">
        <v>24</v>
      </c>
      <c r="B90" s="46" t="s">
        <v>82</v>
      </c>
      <c r="C90" s="47">
        <v>83</v>
      </c>
      <c r="D90" s="133">
        <f t="shared" si="8"/>
        <v>0.23714285714285716</v>
      </c>
    </row>
    <row r="91" spans="1:4" x14ac:dyDescent="0.2">
      <c r="A91" s="46" t="s">
        <v>24</v>
      </c>
      <c r="B91" s="46" t="s">
        <v>83</v>
      </c>
      <c r="C91" s="47">
        <v>60</v>
      </c>
      <c r="D91" s="133">
        <f t="shared" si="8"/>
        <v>0.17142857142857143</v>
      </c>
    </row>
    <row r="92" spans="1:4" x14ac:dyDescent="0.2">
      <c r="A92" s="46" t="s">
        <v>24</v>
      </c>
      <c r="B92" s="46" t="s">
        <v>84</v>
      </c>
      <c r="C92" s="47">
        <v>77</v>
      </c>
      <c r="D92" s="133">
        <f t="shared" si="8"/>
        <v>0.22</v>
      </c>
    </row>
    <row r="93" spans="1:4" x14ac:dyDescent="0.2">
      <c r="C93" s="136">
        <f>SUM(C88:C92)</f>
        <v>350</v>
      </c>
      <c r="D93" s="133">
        <f>SUM(D88:D92)</f>
        <v>1</v>
      </c>
    </row>
    <row r="95" spans="1:4" x14ac:dyDescent="0.2">
      <c r="B95" s="122" t="s">
        <v>63</v>
      </c>
    </row>
    <row r="96" spans="1:4" x14ac:dyDescent="0.2">
      <c r="A96" s="96" t="s">
        <v>11</v>
      </c>
      <c r="B96" s="96" t="s">
        <v>87</v>
      </c>
      <c r="C96" s="96" t="s">
        <v>37</v>
      </c>
      <c r="D96" s="39" t="s">
        <v>16</v>
      </c>
    </row>
    <row r="97" spans="1:4" x14ac:dyDescent="0.2">
      <c r="A97" s="49" t="s">
        <v>24</v>
      </c>
      <c r="B97" s="49" t="s">
        <v>88</v>
      </c>
      <c r="C97" s="50">
        <v>34</v>
      </c>
      <c r="D97" s="133">
        <f>C97/167</f>
        <v>0.20359281437125748</v>
      </c>
    </row>
    <row r="98" spans="1:4" x14ac:dyDescent="0.2">
      <c r="A98" s="49" t="s">
        <v>24</v>
      </c>
      <c r="B98" s="49" t="s">
        <v>89</v>
      </c>
      <c r="C98" s="50">
        <v>7</v>
      </c>
      <c r="D98" s="133">
        <f t="shared" ref="D98:D103" si="9">C98/167</f>
        <v>4.1916167664670656E-2</v>
      </c>
    </row>
    <row r="99" spans="1:4" ht="24" x14ac:dyDescent="0.2">
      <c r="A99" s="49" t="s">
        <v>24</v>
      </c>
      <c r="B99" s="49" t="s">
        <v>90</v>
      </c>
      <c r="C99" s="50">
        <v>19</v>
      </c>
      <c r="D99" s="133">
        <f t="shared" si="9"/>
        <v>0.11377245508982035</v>
      </c>
    </row>
    <row r="100" spans="1:4" x14ac:dyDescent="0.2">
      <c r="A100" s="49" t="s">
        <v>24</v>
      </c>
      <c r="B100" s="49" t="s">
        <v>91</v>
      </c>
      <c r="C100" s="50">
        <v>63</v>
      </c>
      <c r="D100" s="133">
        <f t="shared" si="9"/>
        <v>0.3772455089820359</v>
      </c>
    </row>
    <row r="101" spans="1:4" ht="24" x14ac:dyDescent="0.2">
      <c r="A101" s="49" t="s">
        <v>24</v>
      </c>
      <c r="B101" s="49" t="s">
        <v>92</v>
      </c>
      <c r="C101" s="50">
        <v>18</v>
      </c>
      <c r="D101" s="133">
        <f t="shared" si="9"/>
        <v>0.10778443113772455</v>
      </c>
    </row>
    <row r="102" spans="1:4" x14ac:dyDescent="0.2">
      <c r="A102" s="49" t="s">
        <v>24</v>
      </c>
      <c r="B102" s="49" t="s">
        <v>93</v>
      </c>
      <c r="C102" s="50">
        <v>24</v>
      </c>
      <c r="D102" s="133">
        <f t="shared" si="9"/>
        <v>0.1437125748502994</v>
      </c>
    </row>
    <row r="103" spans="1:4" x14ac:dyDescent="0.2">
      <c r="A103" s="49" t="s">
        <v>24</v>
      </c>
      <c r="B103" s="49" t="s">
        <v>95</v>
      </c>
      <c r="C103" s="50">
        <v>2</v>
      </c>
      <c r="D103" s="133">
        <f t="shared" si="9"/>
        <v>1.1976047904191617E-2</v>
      </c>
    </row>
    <row r="104" spans="1:4" x14ac:dyDescent="0.2">
      <c r="C104" s="136">
        <f>SUM(C97:C103)</f>
        <v>167</v>
      </c>
      <c r="D104" s="133">
        <f>SUM(D97:D103)</f>
        <v>0.99999999999999989</v>
      </c>
    </row>
    <row r="106" spans="1:4" x14ac:dyDescent="0.2">
      <c r="B106" s="122" t="s">
        <v>63</v>
      </c>
    </row>
    <row r="107" spans="1:4" x14ac:dyDescent="0.2">
      <c r="A107" s="97" t="s">
        <v>11</v>
      </c>
      <c r="B107" s="97" t="s">
        <v>188</v>
      </c>
      <c r="C107" s="97" t="s">
        <v>37</v>
      </c>
      <c r="D107" s="39" t="s">
        <v>16</v>
      </c>
    </row>
    <row r="108" spans="1:4" ht="24" x14ac:dyDescent="0.2">
      <c r="A108" s="52" t="s">
        <v>24</v>
      </c>
      <c r="B108" s="52" t="s">
        <v>98</v>
      </c>
      <c r="C108" s="53">
        <v>94</v>
      </c>
      <c r="D108" s="133">
        <f>C108/418</f>
        <v>0.22488038277511962</v>
      </c>
    </row>
    <row r="109" spans="1:4" x14ac:dyDescent="0.2">
      <c r="A109" s="52" t="s">
        <v>24</v>
      </c>
      <c r="B109" s="52" t="s">
        <v>99</v>
      </c>
      <c r="C109" s="53">
        <v>89</v>
      </c>
      <c r="D109" s="133">
        <f t="shared" ref="D109:D115" si="10">C109/418</f>
        <v>0.21291866028708134</v>
      </c>
    </row>
    <row r="110" spans="1:4" x14ac:dyDescent="0.2">
      <c r="A110" s="52" t="s">
        <v>24</v>
      </c>
      <c r="B110" s="52" t="s">
        <v>100</v>
      </c>
      <c r="C110" s="53">
        <v>25</v>
      </c>
      <c r="D110" s="133">
        <f t="shared" si="10"/>
        <v>5.9808612440191387E-2</v>
      </c>
    </row>
    <row r="111" spans="1:4" x14ac:dyDescent="0.2">
      <c r="A111" s="52" t="s">
        <v>24</v>
      </c>
      <c r="B111" s="52" t="s">
        <v>101</v>
      </c>
      <c r="C111" s="53">
        <v>32</v>
      </c>
      <c r="D111" s="133">
        <f t="shared" si="10"/>
        <v>7.6555023923444973E-2</v>
      </c>
    </row>
    <row r="112" spans="1:4" x14ac:dyDescent="0.2">
      <c r="A112" s="52" t="s">
        <v>24</v>
      </c>
      <c r="B112" s="52" t="s">
        <v>102</v>
      </c>
      <c r="C112" s="53">
        <v>64</v>
      </c>
      <c r="D112" s="133">
        <f t="shared" si="10"/>
        <v>0.15311004784688995</v>
      </c>
    </row>
    <row r="113" spans="1:5" x14ac:dyDescent="0.2">
      <c r="A113" s="52" t="s">
        <v>24</v>
      </c>
      <c r="B113" s="52" t="s">
        <v>103</v>
      </c>
      <c r="C113" s="53">
        <v>46</v>
      </c>
      <c r="D113" s="133">
        <f t="shared" si="10"/>
        <v>0.11004784688995216</v>
      </c>
    </row>
    <row r="114" spans="1:5" x14ac:dyDescent="0.2">
      <c r="A114" s="52" t="s">
        <v>24</v>
      </c>
      <c r="B114" s="52" t="s">
        <v>104</v>
      </c>
      <c r="C114" s="53">
        <v>66</v>
      </c>
      <c r="D114" s="133">
        <f t="shared" si="10"/>
        <v>0.15789473684210525</v>
      </c>
    </row>
    <row r="115" spans="1:5" x14ac:dyDescent="0.2">
      <c r="A115" s="52" t="s">
        <v>24</v>
      </c>
      <c r="B115" s="52" t="s">
        <v>105</v>
      </c>
      <c r="C115" s="53">
        <v>2</v>
      </c>
      <c r="D115" s="133">
        <f t="shared" si="10"/>
        <v>4.7846889952153108E-3</v>
      </c>
    </row>
    <row r="116" spans="1:5" x14ac:dyDescent="0.2">
      <c r="C116" s="136">
        <f>SUM(C108:C115)</f>
        <v>418</v>
      </c>
      <c r="D116" s="133">
        <f>SUM(D108:D115)</f>
        <v>1</v>
      </c>
    </row>
    <row r="118" spans="1:5" ht="36" x14ac:dyDescent="0.2">
      <c r="A118" s="54" t="s">
        <v>11</v>
      </c>
      <c r="B118" s="54" t="s">
        <v>202</v>
      </c>
      <c r="C118" s="117" t="s">
        <v>203</v>
      </c>
      <c r="D118" s="39" t="s">
        <v>3</v>
      </c>
      <c r="E118" s="117" t="s">
        <v>10</v>
      </c>
    </row>
    <row r="119" spans="1:5" x14ac:dyDescent="0.2">
      <c r="A119" s="46" t="s">
        <v>24</v>
      </c>
      <c r="B119" s="47">
        <v>133</v>
      </c>
      <c r="C119" s="136">
        <v>13</v>
      </c>
      <c r="D119" s="136">
        <f>SUM(B119:C119)</f>
        <v>146</v>
      </c>
      <c r="E119" s="136">
        <v>5</v>
      </c>
    </row>
    <row r="121" spans="1:5" x14ac:dyDescent="0.2">
      <c r="A121" s="55" t="s">
        <v>11</v>
      </c>
      <c r="B121" s="55" t="s">
        <v>189</v>
      </c>
      <c r="C121" s="56" t="s">
        <v>37</v>
      </c>
      <c r="D121" s="117" t="s">
        <v>16</v>
      </c>
    </row>
    <row r="122" spans="1:5" x14ac:dyDescent="0.2">
      <c r="A122" s="57" t="s">
        <v>24</v>
      </c>
      <c r="B122" s="57" t="s">
        <v>60</v>
      </c>
      <c r="C122" s="58">
        <v>157</v>
      </c>
      <c r="D122" s="133">
        <f t="shared" ref="D122" si="11">C122/280</f>
        <v>0.56071428571428572</v>
      </c>
    </row>
    <row r="124" spans="1:5" ht="36" x14ac:dyDescent="0.2">
      <c r="A124" s="59" t="s">
        <v>11</v>
      </c>
      <c r="B124" s="59" t="s">
        <v>190</v>
      </c>
      <c r="C124" s="59" t="s">
        <v>37</v>
      </c>
      <c r="D124" s="117" t="s">
        <v>221</v>
      </c>
      <c r="E124" s="117" t="s">
        <v>3</v>
      </c>
    </row>
    <row r="125" spans="1:5" x14ac:dyDescent="0.2">
      <c r="A125" s="60" t="s">
        <v>24</v>
      </c>
      <c r="B125" s="60" t="s">
        <v>60</v>
      </c>
      <c r="C125" s="61">
        <v>51</v>
      </c>
      <c r="D125" s="136">
        <v>1</v>
      </c>
      <c r="E125" s="136">
        <f>SUM(C125:D125)</f>
        <v>52</v>
      </c>
    </row>
    <row r="127" spans="1:5" x14ac:dyDescent="0.2">
      <c r="A127" s="62" t="s">
        <v>11</v>
      </c>
      <c r="B127" s="62" t="s">
        <v>191</v>
      </c>
      <c r="C127" s="62" t="s">
        <v>37</v>
      </c>
      <c r="D127" s="117" t="s">
        <v>16</v>
      </c>
    </row>
    <row r="128" spans="1:5" x14ac:dyDescent="0.2">
      <c r="A128" s="63" t="s">
        <v>24</v>
      </c>
      <c r="B128" s="63" t="s">
        <v>60</v>
      </c>
      <c r="C128" s="64">
        <v>57</v>
      </c>
      <c r="D128" s="133">
        <f t="shared" ref="D128" si="12">C128/280</f>
        <v>0.20357142857142857</v>
      </c>
    </row>
    <row r="130" spans="1:4" ht="24" x14ac:dyDescent="0.2">
      <c r="A130" s="98" t="s">
        <v>11</v>
      </c>
      <c r="B130" s="98" t="s">
        <v>222</v>
      </c>
      <c r="C130" s="98" t="s">
        <v>37</v>
      </c>
      <c r="D130" s="117" t="s">
        <v>223</v>
      </c>
    </row>
    <row r="131" spans="1:4" x14ac:dyDescent="0.2">
      <c r="A131" s="99" t="s">
        <v>24</v>
      </c>
      <c r="B131" s="99" t="s">
        <v>60</v>
      </c>
      <c r="C131" s="100">
        <v>30</v>
      </c>
      <c r="D131" s="119">
        <f>C131/C128</f>
        <v>0.52631578947368418</v>
      </c>
    </row>
    <row r="133" spans="1:4" x14ac:dyDescent="0.2">
      <c r="A133" s="65" t="s">
        <v>11</v>
      </c>
      <c r="B133" s="65" t="s">
        <v>192</v>
      </c>
      <c r="C133" s="65" t="s">
        <v>37</v>
      </c>
      <c r="D133" s="117" t="s">
        <v>16</v>
      </c>
    </row>
    <row r="134" spans="1:4" x14ac:dyDescent="0.2">
      <c r="A134" s="66" t="s">
        <v>24</v>
      </c>
      <c r="B134" s="66" t="s">
        <v>60</v>
      </c>
      <c r="C134" s="67">
        <v>34</v>
      </c>
      <c r="D134" s="133">
        <f t="shared" ref="D134" si="13">C134/280</f>
        <v>0.12142857142857143</v>
      </c>
    </row>
    <row r="136" spans="1:4" ht="24" x14ac:dyDescent="0.2">
      <c r="A136" s="65" t="s">
        <v>11</v>
      </c>
      <c r="B136" s="65" t="s">
        <v>224</v>
      </c>
      <c r="C136" s="65" t="s">
        <v>37</v>
      </c>
      <c r="D136" s="117" t="s">
        <v>225</v>
      </c>
    </row>
    <row r="137" spans="1:4" x14ac:dyDescent="0.2">
      <c r="A137" s="66" t="s">
        <v>24</v>
      </c>
      <c r="B137" s="66" t="s">
        <v>114</v>
      </c>
      <c r="C137" s="67">
        <v>7</v>
      </c>
      <c r="D137" s="119">
        <f>C137/34</f>
        <v>0.20588235294117646</v>
      </c>
    </row>
    <row r="138" spans="1:4" x14ac:dyDescent="0.2">
      <c r="A138" s="66" t="s">
        <v>24</v>
      </c>
      <c r="B138" s="66" t="s">
        <v>115</v>
      </c>
      <c r="C138" s="67">
        <v>25</v>
      </c>
      <c r="D138" s="119">
        <f t="shared" ref="D138:D139" si="14">C138/34</f>
        <v>0.73529411764705888</v>
      </c>
    </row>
    <row r="139" spans="1:4" x14ac:dyDescent="0.2">
      <c r="A139" s="66" t="s">
        <v>24</v>
      </c>
      <c r="B139" s="66" t="s">
        <v>33</v>
      </c>
      <c r="C139" s="67">
        <v>2</v>
      </c>
      <c r="D139" s="119">
        <f t="shared" si="14"/>
        <v>5.8823529411764705E-2</v>
      </c>
    </row>
    <row r="140" spans="1:4" x14ac:dyDescent="0.2">
      <c r="A140" s="66"/>
      <c r="B140" s="66"/>
      <c r="C140" s="67">
        <f>SUM(C137:C139)</f>
        <v>34</v>
      </c>
      <c r="D140" s="133">
        <f>SUM(D137:D139)</f>
        <v>1</v>
      </c>
    </row>
    <row r="142" spans="1:4" x14ac:dyDescent="0.2">
      <c r="B142" s="137" t="s">
        <v>63</v>
      </c>
    </row>
    <row r="143" spans="1:4" x14ac:dyDescent="0.2">
      <c r="A143" s="68" t="s">
        <v>11</v>
      </c>
      <c r="B143" s="68" t="s">
        <v>193</v>
      </c>
      <c r="C143" s="68" t="s">
        <v>37</v>
      </c>
      <c r="D143" s="117" t="s">
        <v>16</v>
      </c>
    </row>
    <row r="144" spans="1:4" x14ac:dyDescent="0.2">
      <c r="A144" s="102" t="s">
        <v>24</v>
      </c>
      <c r="B144" s="102" t="s">
        <v>117</v>
      </c>
      <c r="C144" s="103">
        <v>34</v>
      </c>
      <c r="D144" s="133">
        <f>C144/133</f>
        <v>0.25563909774436089</v>
      </c>
    </row>
    <row r="145" spans="1:6" x14ac:dyDescent="0.2">
      <c r="A145" s="102" t="s">
        <v>24</v>
      </c>
      <c r="B145" s="102" t="s">
        <v>118</v>
      </c>
      <c r="C145" s="103">
        <v>38</v>
      </c>
      <c r="D145" s="133">
        <f t="shared" ref="D145:D150" si="15">C145/133</f>
        <v>0.2857142857142857</v>
      </c>
    </row>
    <row r="146" spans="1:6" x14ac:dyDescent="0.2">
      <c r="A146" s="102" t="s">
        <v>24</v>
      </c>
      <c r="B146" s="102" t="s">
        <v>119</v>
      </c>
      <c r="C146" s="103">
        <v>32</v>
      </c>
      <c r="D146" s="133">
        <f t="shared" si="15"/>
        <v>0.24060150375939848</v>
      </c>
    </row>
    <row r="147" spans="1:6" x14ac:dyDescent="0.2">
      <c r="A147" s="102" t="s">
        <v>24</v>
      </c>
      <c r="B147" s="102" t="s">
        <v>120</v>
      </c>
      <c r="C147" s="103">
        <v>20</v>
      </c>
      <c r="D147" s="133">
        <f t="shared" si="15"/>
        <v>0.15037593984962405</v>
      </c>
    </row>
    <row r="148" spans="1:6" x14ac:dyDescent="0.2">
      <c r="A148" s="102" t="s">
        <v>24</v>
      </c>
      <c r="B148" s="102" t="s">
        <v>121</v>
      </c>
      <c r="C148" s="103">
        <v>2</v>
      </c>
      <c r="D148" s="133">
        <f t="shared" si="15"/>
        <v>1.5037593984962405E-2</v>
      </c>
    </row>
    <row r="149" spans="1:6" x14ac:dyDescent="0.2">
      <c r="A149" s="102" t="s">
        <v>24</v>
      </c>
      <c r="B149" s="102" t="s">
        <v>122</v>
      </c>
      <c r="C149" s="103">
        <v>6</v>
      </c>
      <c r="D149" s="133">
        <f t="shared" si="15"/>
        <v>4.5112781954887216E-2</v>
      </c>
    </row>
    <row r="150" spans="1:6" x14ac:dyDescent="0.2">
      <c r="A150" s="102" t="s">
        <v>24</v>
      </c>
      <c r="B150" s="102" t="s">
        <v>123</v>
      </c>
      <c r="C150" s="103">
        <v>1</v>
      </c>
      <c r="D150" s="133">
        <f t="shared" si="15"/>
        <v>7.5187969924812026E-3</v>
      </c>
    </row>
    <row r="151" spans="1:6" x14ac:dyDescent="0.2">
      <c r="C151" s="136">
        <f>SUM(C144:C150)</f>
        <v>133</v>
      </c>
      <c r="D151" s="133">
        <f>SUM(D144:D150)</f>
        <v>1</v>
      </c>
    </row>
    <row r="153" spans="1:6" ht="24" x14ac:dyDescent="0.2">
      <c r="A153" s="71" t="s">
        <v>11</v>
      </c>
      <c r="B153" s="71" t="s">
        <v>124</v>
      </c>
      <c r="C153" s="71" t="s">
        <v>175</v>
      </c>
      <c r="D153" s="71" t="s">
        <v>194</v>
      </c>
      <c r="E153" s="141" t="s">
        <v>3</v>
      </c>
      <c r="F153" s="71" t="s">
        <v>16</v>
      </c>
    </row>
    <row r="154" spans="1:6" s="142" customFormat="1" x14ac:dyDescent="0.2">
      <c r="A154" s="72" t="s">
        <v>24</v>
      </c>
      <c r="B154" s="72" t="s">
        <v>127</v>
      </c>
      <c r="C154" s="73">
        <v>0</v>
      </c>
      <c r="D154" s="105">
        <v>12</v>
      </c>
      <c r="E154" s="73">
        <f>SUM(C154:D154)</f>
        <v>12</v>
      </c>
      <c r="F154" s="114">
        <f>E154/320</f>
        <v>3.7499999999999999E-2</v>
      </c>
    </row>
    <row r="155" spans="1:6" x14ac:dyDescent="0.2">
      <c r="A155" s="76" t="s">
        <v>24</v>
      </c>
      <c r="B155" s="76" t="s">
        <v>128</v>
      </c>
      <c r="C155" s="77">
        <v>10</v>
      </c>
      <c r="D155" s="143">
        <v>2</v>
      </c>
      <c r="E155" s="73">
        <f t="shared" ref="E155:E161" si="16">SUM(C155:D155)</f>
        <v>12</v>
      </c>
      <c r="F155" s="114">
        <f t="shared" ref="F155:F161" si="17">E155/320</f>
        <v>3.7499999999999999E-2</v>
      </c>
    </row>
    <row r="156" spans="1:6" x14ac:dyDescent="0.2">
      <c r="A156" s="76" t="s">
        <v>24</v>
      </c>
      <c r="B156" s="76" t="s">
        <v>129</v>
      </c>
      <c r="C156" s="77">
        <v>28</v>
      </c>
      <c r="D156" s="143">
        <v>5</v>
      </c>
      <c r="E156" s="73">
        <f t="shared" si="16"/>
        <v>33</v>
      </c>
      <c r="F156" s="114">
        <f t="shared" si="17"/>
        <v>0.10312499999999999</v>
      </c>
    </row>
    <row r="157" spans="1:6" x14ac:dyDescent="0.2">
      <c r="A157" s="76" t="s">
        <v>24</v>
      </c>
      <c r="B157" s="76" t="s">
        <v>130</v>
      </c>
      <c r="C157" s="77">
        <v>44</v>
      </c>
      <c r="D157" s="143">
        <v>8</v>
      </c>
      <c r="E157" s="73">
        <f t="shared" si="16"/>
        <v>52</v>
      </c>
      <c r="F157" s="114">
        <f t="shared" si="17"/>
        <v>0.16250000000000001</v>
      </c>
    </row>
    <row r="158" spans="1:6" x14ac:dyDescent="0.2">
      <c r="A158" s="76" t="s">
        <v>24</v>
      </c>
      <c r="B158" s="76" t="s">
        <v>131</v>
      </c>
      <c r="C158" s="77">
        <v>96</v>
      </c>
      <c r="D158" s="143">
        <v>9</v>
      </c>
      <c r="E158" s="73">
        <f t="shared" si="16"/>
        <v>105</v>
      </c>
      <c r="F158" s="114">
        <f t="shared" si="17"/>
        <v>0.328125</v>
      </c>
    </row>
    <row r="159" spans="1:6" x14ac:dyDescent="0.2">
      <c r="A159" s="76" t="s">
        <v>24</v>
      </c>
      <c r="B159" s="76" t="s">
        <v>132</v>
      </c>
      <c r="C159" s="77">
        <v>64</v>
      </c>
      <c r="D159" s="143">
        <v>3</v>
      </c>
      <c r="E159" s="73">
        <f t="shared" si="16"/>
        <v>67</v>
      </c>
      <c r="F159" s="114">
        <f t="shared" si="17"/>
        <v>0.20937500000000001</v>
      </c>
    </row>
    <row r="160" spans="1:6" x14ac:dyDescent="0.2">
      <c r="A160" s="76" t="s">
        <v>24</v>
      </c>
      <c r="B160" s="76" t="s">
        <v>133</v>
      </c>
      <c r="C160" s="77">
        <v>31</v>
      </c>
      <c r="D160" s="143">
        <v>1</v>
      </c>
      <c r="E160" s="73">
        <f t="shared" si="16"/>
        <v>32</v>
      </c>
      <c r="F160" s="114">
        <f t="shared" si="17"/>
        <v>0.1</v>
      </c>
    </row>
    <row r="161" spans="1:6" x14ac:dyDescent="0.2">
      <c r="A161" s="76" t="s">
        <v>24</v>
      </c>
      <c r="B161" s="76" t="s">
        <v>134</v>
      </c>
      <c r="C161" s="77">
        <v>7</v>
      </c>
      <c r="D161" s="143">
        <v>0</v>
      </c>
      <c r="E161" s="73">
        <f t="shared" si="16"/>
        <v>7</v>
      </c>
      <c r="F161" s="114">
        <f t="shared" si="17"/>
        <v>2.1874999999999999E-2</v>
      </c>
    </row>
    <row r="162" spans="1:6" x14ac:dyDescent="0.2">
      <c r="C162" s="136">
        <f>SUM(C154:C161)</f>
        <v>280</v>
      </c>
      <c r="D162" s="136">
        <f>SUM(D154:D161)</f>
        <v>40</v>
      </c>
      <c r="E162" s="144">
        <f>SUM(E154:E161)</f>
        <v>320</v>
      </c>
      <c r="F162" s="133">
        <f>SUM(F154:F161)</f>
        <v>0.99999999999999989</v>
      </c>
    </row>
    <row r="164" spans="1:6" ht="24" x14ac:dyDescent="0.2">
      <c r="A164" s="78" t="s">
        <v>11</v>
      </c>
      <c r="B164" s="78" t="s">
        <v>135</v>
      </c>
      <c r="C164" s="78" t="s">
        <v>196</v>
      </c>
      <c r="D164" s="78" t="s">
        <v>197</v>
      </c>
      <c r="E164" s="78" t="s">
        <v>3</v>
      </c>
      <c r="F164" s="78" t="s">
        <v>16</v>
      </c>
    </row>
    <row r="165" spans="1:6" x14ac:dyDescent="0.2">
      <c r="A165" s="79" t="s">
        <v>24</v>
      </c>
      <c r="B165" s="79" t="s">
        <v>137</v>
      </c>
      <c r="C165" s="80">
        <v>262</v>
      </c>
      <c r="D165" s="136">
        <v>30</v>
      </c>
      <c r="E165" s="136">
        <f>SUM(C165:D165)</f>
        <v>292</v>
      </c>
      <c r="F165" s="114">
        <f t="shared" ref="F165:F169" si="18">E165/320</f>
        <v>0.91249999999999998</v>
      </c>
    </row>
    <row r="166" spans="1:6" x14ac:dyDescent="0.2">
      <c r="A166" s="79" t="s">
        <v>24</v>
      </c>
      <c r="B166" s="79" t="s">
        <v>138</v>
      </c>
      <c r="C166" s="80">
        <v>2</v>
      </c>
      <c r="D166" s="136">
        <v>0</v>
      </c>
      <c r="E166" s="136">
        <f t="shared" ref="E166:E169" si="19">SUM(C166:D166)</f>
        <v>2</v>
      </c>
      <c r="F166" s="114">
        <f t="shared" si="18"/>
        <v>6.2500000000000003E-3</v>
      </c>
    </row>
    <row r="167" spans="1:6" x14ac:dyDescent="0.2">
      <c r="A167" s="79" t="s">
        <v>24</v>
      </c>
      <c r="B167" s="79" t="s">
        <v>140</v>
      </c>
      <c r="C167" s="80">
        <v>11</v>
      </c>
      <c r="D167" s="136">
        <v>3</v>
      </c>
      <c r="E167" s="136">
        <f t="shared" si="19"/>
        <v>14</v>
      </c>
      <c r="F167" s="114">
        <f t="shared" si="18"/>
        <v>4.3749999999999997E-2</v>
      </c>
    </row>
    <row r="168" spans="1:6" x14ac:dyDescent="0.2">
      <c r="A168" s="79" t="s">
        <v>24</v>
      </c>
      <c r="B168" s="79" t="s">
        <v>141</v>
      </c>
      <c r="C168" s="80">
        <v>1</v>
      </c>
      <c r="D168" s="136">
        <v>0</v>
      </c>
      <c r="E168" s="136">
        <f t="shared" si="19"/>
        <v>1</v>
      </c>
      <c r="F168" s="114">
        <f t="shared" si="18"/>
        <v>3.1250000000000002E-3</v>
      </c>
    </row>
    <row r="169" spans="1:6" x14ac:dyDescent="0.2">
      <c r="A169" s="79" t="s">
        <v>24</v>
      </c>
      <c r="B169" s="79" t="s">
        <v>142</v>
      </c>
      <c r="C169" s="80">
        <v>4</v>
      </c>
      <c r="D169" s="136">
        <v>7</v>
      </c>
      <c r="E169" s="136">
        <f t="shared" si="19"/>
        <v>11</v>
      </c>
      <c r="F169" s="114">
        <f t="shared" si="18"/>
        <v>3.4375000000000003E-2</v>
      </c>
    </row>
    <row r="170" spans="1:6" x14ac:dyDescent="0.2">
      <c r="C170" s="136">
        <f>SUM(C165:C169)</f>
        <v>280</v>
      </c>
      <c r="D170" s="136">
        <f>SUM(D165:D169)</f>
        <v>40</v>
      </c>
      <c r="E170" s="136">
        <f>SUM(E165:E169)</f>
        <v>320</v>
      </c>
      <c r="F170" s="133">
        <f>SUM(F165:F169)</f>
        <v>1</v>
      </c>
    </row>
    <row r="172" spans="1:6" ht="24" x14ac:dyDescent="0.2">
      <c r="A172" s="78" t="s">
        <v>11</v>
      </c>
      <c r="B172" s="78" t="s">
        <v>198</v>
      </c>
      <c r="C172" s="78" t="s">
        <v>196</v>
      </c>
      <c r="D172" s="78" t="s">
        <v>197</v>
      </c>
      <c r="E172" s="78" t="s">
        <v>3</v>
      </c>
      <c r="F172" s="78" t="s">
        <v>16</v>
      </c>
    </row>
    <row r="173" spans="1:6" x14ac:dyDescent="0.2">
      <c r="A173" s="107" t="s">
        <v>24</v>
      </c>
      <c r="B173" s="107" t="s">
        <v>60</v>
      </c>
      <c r="C173" s="108">
        <v>19</v>
      </c>
      <c r="D173" s="136">
        <v>2</v>
      </c>
      <c r="E173" s="136">
        <f>SUM(C173:D173)</f>
        <v>21</v>
      </c>
      <c r="F173" s="114">
        <f t="shared" ref="F173" si="20">E173/320</f>
        <v>6.5625000000000003E-2</v>
      </c>
    </row>
    <row r="176" spans="1:6" ht="24" x14ac:dyDescent="0.2">
      <c r="A176" s="82" t="s">
        <v>11</v>
      </c>
      <c r="B176" s="82" t="s">
        <v>199</v>
      </c>
      <c r="C176" s="82" t="s">
        <v>200</v>
      </c>
      <c r="D176" s="117" t="s">
        <v>125</v>
      </c>
      <c r="E176" s="82" t="s">
        <v>3</v>
      </c>
      <c r="F176" s="82" t="s">
        <v>16</v>
      </c>
    </row>
    <row r="177" spans="1:6" x14ac:dyDescent="0.2">
      <c r="A177" s="83" t="s">
        <v>24</v>
      </c>
      <c r="B177" s="83" t="s">
        <v>145</v>
      </c>
      <c r="C177" s="84">
        <v>216</v>
      </c>
      <c r="D177" s="84">
        <v>14</v>
      </c>
      <c r="E177" s="84">
        <f>SUM(C177:D177)</f>
        <v>230</v>
      </c>
      <c r="F177" s="114">
        <f t="shared" ref="F177:F180" si="21">E177/320</f>
        <v>0.71875</v>
      </c>
    </row>
    <row r="178" spans="1:6" x14ac:dyDescent="0.2">
      <c r="A178" s="83" t="s">
        <v>24</v>
      </c>
      <c r="B178" s="83" t="s">
        <v>146</v>
      </c>
      <c r="C178" s="84">
        <v>59</v>
      </c>
      <c r="D178" s="84">
        <v>26</v>
      </c>
      <c r="E178" s="84">
        <f t="shared" ref="E178:E180" si="22">SUM(C178:D178)</f>
        <v>85</v>
      </c>
      <c r="F178" s="114">
        <f t="shared" si="21"/>
        <v>0.265625</v>
      </c>
    </row>
    <row r="179" spans="1:6" x14ac:dyDescent="0.2">
      <c r="A179" s="83" t="s">
        <v>24</v>
      </c>
      <c r="B179" s="83" t="s">
        <v>147</v>
      </c>
      <c r="C179" s="84">
        <v>1</v>
      </c>
      <c r="D179" s="84">
        <v>0</v>
      </c>
      <c r="E179" s="84">
        <f t="shared" si="22"/>
        <v>1</v>
      </c>
      <c r="F179" s="114">
        <f t="shared" si="21"/>
        <v>3.1250000000000002E-3</v>
      </c>
    </row>
    <row r="180" spans="1:6" x14ac:dyDescent="0.2">
      <c r="A180" s="83" t="s">
        <v>24</v>
      </c>
      <c r="B180" s="83" t="s">
        <v>148</v>
      </c>
      <c r="C180" s="84">
        <v>4</v>
      </c>
      <c r="D180" s="84">
        <v>0</v>
      </c>
      <c r="E180" s="84">
        <f t="shared" si="22"/>
        <v>4</v>
      </c>
      <c r="F180" s="114">
        <f t="shared" si="21"/>
        <v>1.2500000000000001E-2</v>
      </c>
    </row>
    <row r="181" spans="1:6" x14ac:dyDescent="0.2">
      <c r="C181" s="136">
        <f>SUM(C177:C180)</f>
        <v>280</v>
      </c>
      <c r="D181" s="136">
        <f>SUM(D177:D180)</f>
        <v>40</v>
      </c>
      <c r="E181" s="136">
        <f>SUM(E177:E180)</f>
        <v>320</v>
      </c>
      <c r="F181" s="133">
        <f>SUM(F177:F180)</f>
        <v>1</v>
      </c>
    </row>
    <row r="183" spans="1:6" ht="24" x14ac:dyDescent="0.2">
      <c r="A183" s="121"/>
      <c r="B183" s="131" t="s">
        <v>204</v>
      </c>
      <c r="C183" s="121"/>
      <c r="D183" s="121"/>
      <c r="E183" s="121"/>
    </row>
    <row r="184" spans="1:6" ht="36" x14ac:dyDescent="0.2">
      <c r="A184" s="85" t="s">
        <v>11</v>
      </c>
      <c r="B184" s="85" t="s">
        <v>205</v>
      </c>
      <c r="C184" s="85" t="s">
        <v>206</v>
      </c>
      <c r="D184" s="85" t="s">
        <v>207</v>
      </c>
      <c r="E184" s="117" t="s">
        <v>16</v>
      </c>
      <c r="F184" s="85" t="s">
        <v>208</v>
      </c>
    </row>
    <row r="185" spans="1:6" x14ac:dyDescent="0.2">
      <c r="A185" s="86" t="s">
        <v>24</v>
      </c>
      <c r="B185" s="86" t="s">
        <v>226</v>
      </c>
      <c r="C185" s="87">
        <v>5</v>
      </c>
      <c r="D185" s="87">
        <v>52</v>
      </c>
      <c r="E185" s="133">
        <f>D185/312</f>
        <v>0.16666666666666666</v>
      </c>
      <c r="F185" s="87">
        <v>65</v>
      </c>
    </row>
    <row r="186" spans="1:6" x14ac:dyDescent="0.2">
      <c r="A186" s="86" t="s">
        <v>24</v>
      </c>
      <c r="B186" s="86" t="s">
        <v>209</v>
      </c>
      <c r="C186" s="87">
        <v>5</v>
      </c>
      <c r="D186" s="87">
        <v>175</v>
      </c>
      <c r="E186" s="133">
        <f t="shared" ref="E186:E187" si="23">D186/312</f>
        <v>0.5608974358974359</v>
      </c>
      <c r="F186" s="87">
        <v>186</v>
      </c>
    </row>
    <row r="187" spans="1:6" x14ac:dyDescent="0.2">
      <c r="A187" s="86" t="s">
        <v>24</v>
      </c>
      <c r="B187" s="86" t="s">
        <v>210</v>
      </c>
      <c r="C187" s="87">
        <v>3</v>
      </c>
      <c r="D187" s="87">
        <v>85</v>
      </c>
      <c r="E187" s="133">
        <f t="shared" si="23"/>
        <v>0.27243589743589741</v>
      </c>
      <c r="F187" s="87">
        <v>85</v>
      </c>
    </row>
    <row r="188" spans="1:6" x14ac:dyDescent="0.2">
      <c r="C188" s="136">
        <f>SUM(C185:C187)</f>
        <v>13</v>
      </c>
      <c r="D188" s="136">
        <f>SUM(D185:D187)</f>
        <v>312</v>
      </c>
      <c r="E188" s="133">
        <f>SUM(E185:E187)</f>
        <v>1</v>
      </c>
      <c r="F188" s="136">
        <f>SUM(F185:F187)</f>
        <v>336</v>
      </c>
    </row>
    <row r="189" spans="1:6" x14ac:dyDescent="0.2">
      <c r="F189" s="133">
        <f>D188/336</f>
        <v>0.9285714285714286</v>
      </c>
    </row>
  </sheetData>
  <printOptions horizontalCentered="1"/>
  <pageMargins left="0.7" right="0.7" top="0.75" bottom="0.75" header="0.3" footer="0.3"/>
  <pageSetup orientation="portrait" horizontalDpi="4294967293" verticalDpi="4294967293" r:id="rId1"/>
  <headerFooter>
    <oddHeader>&amp;L&amp;"-,Bold"&amp;8Mohave County&amp;C&amp;"-,Bold"&amp;8AZ Balance of State
Continuum of Care
2018 Point In Time Data Report &amp;R&amp;"-,Bold"&amp;8&amp;P of &amp;N
&amp;D</oddHeader>
  </headerFooter>
  <rowBreaks count="4" manualBreakCount="4">
    <brk id="42" max="16383" man="1"/>
    <brk id="68" max="16383" man="1"/>
    <brk id="94" max="16383" man="1"/>
    <brk id="17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zoomScale="125" zoomScaleNormal="125" workbookViewId="0">
      <selection activeCell="A3" sqref="A3"/>
    </sheetView>
  </sheetViews>
  <sheetFormatPr defaultColWidth="8.85546875" defaultRowHeight="12" x14ac:dyDescent="0.2"/>
  <cols>
    <col min="1" max="1" width="8.85546875" style="90"/>
    <col min="2" max="2" width="19.140625" style="90" customWidth="1"/>
    <col min="3" max="3" width="15.140625" style="90" customWidth="1"/>
    <col min="4" max="16384" width="8.85546875" style="90"/>
  </cols>
  <sheetData>
    <row r="1" spans="1:4" x14ac:dyDescent="0.2">
      <c r="A1" s="88" t="s">
        <v>11</v>
      </c>
      <c r="B1" s="88" t="s">
        <v>175</v>
      </c>
      <c r="C1" s="91" t="s">
        <v>228</v>
      </c>
      <c r="D1" s="94" t="s">
        <v>3</v>
      </c>
    </row>
    <row r="2" spans="1:4" x14ac:dyDescent="0.2">
      <c r="A2" s="36" t="s">
        <v>25</v>
      </c>
      <c r="B2" s="37">
        <v>15</v>
      </c>
      <c r="C2" s="90">
        <v>7</v>
      </c>
      <c r="D2" s="90">
        <f>SUM(B2:C2)</f>
        <v>22</v>
      </c>
    </row>
    <row r="5" spans="1:4" x14ac:dyDescent="0.2">
      <c r="A5" s="88" t="s">
        <v>11</v>
      </c>
      <c r="B5" s="88" t="s">
        <v>30</v>
      </c>
      <c r="C5" s="88" t="s">
        <v>232</v>
      </c>
      <c r="D5" s="91" t="s">
        <v>16</v>
      </c>
    </row>
    <row r="6" spans="1:4" x14ac:dyDescent="0.2">
      <c r="A6" s="36" t="s">
        <v>25</v>
      </c>
      <c r="B6" s="36" t="s">
        <v>280</v>
      </c>
      <c r="C6" s="37">
        <v>2</v>
      </c>
      <c r="D6" s="92">
        <f>C6/15</f>
        <v>0.13333333333333333</v>
      </c>
    </row>
    <row r="7" spans="1:4" x14ac:dyDescent="0.2">
      <c r="A7" s="36" t="s">
        <v>25</v>
      </c>
      <c r="B7" s="36" t="s">
        <v>281</v>
      </c>
      <c r="C7" s="37">
        <v>2</v>
      </c>
      <c r="D7" s="92">
        <f t="shared" ref="D7:D8" si="0">C7/15</f>
        <v>0.13333333333333333</v>
      </c>
    </row>
    <row r="8" spans="1:4" x14ac:dyDescent="0.2">
      <c r="A8" s="36" t="s">
        <v>25</v>
      </c>
      <c r="B8" s="36" t="s">
        <v>282</v>
      </c>
      <c r="C8" s="37">
        <v>11</v>
      </c>
      <c r="D8" s="92">
        <f t="shared" si="0"/>
        <v>0.73333333333333328</v>
      </c>
    </row>
    <row r="9" spans="1:4" x14ac:dyDescent="0.2">
      <c r="C9" s="90">
        <f>SUM(C6:C8)</f>
        <v>15</v>
      </c>
      <c r="D9" s="92">
        <f>SUM(D6:D8)</f>
        <v>1</v>
      </c>
    </row>
    <row r="11" spans="1:4" x14ac:dyDescent="0.2">
      <c r="A11" s="38" t="s">
        <v>11</v>
      </c>
      <c r="B11" s="38" t="s">
        <v>36</v>
      </c>
      <c r="C11" s="38" t="s">
        <v>250</v>
      </c>
      <c r="D11" s="39" t="s">
        <v>16</v>
      </c>
    </row>
    <row r="12" spans="1:4" x14ac:dyDescent="0.2">
      <c r="A12" s="40" t="s">
        <v>25</v>
      </c>
      <c r="B12" s="40" t="s">
        <v>201</v>
      </c>
      <c r="C12" s="41">
        <v>11</v>
      </c>
      <c r="D12" s="92">
        <f t="shared" ref="D12:D14" si="1">C12/15</f>
        <v>0.73333333333333328</v>
      </c>
    </row>
    <row r="13" spans="1:4" ht="24" x14ac:dyDescent="0.2">
      <c r="A13" s="40" t="s">
        <v>25</v>
      </c>
      <c r="B13" s="40" t="s">
        <v>41</v>
      </c>
      <c r="C13" s="41">
        <v>2</v>
      </c>
      <c r="D13" s="92">
        <f t="shared" si="1"/>
        <v>0.13333333333333333</v>
      </c>
    </row>
    <row r="14" spans="1:4" ht="24" x14ac:dyDescent="0.2">
      <c r="A14" s="40" t="s">
        <v>25</v>
      </c>
      <c r="B14" s="40" t="s">
        <v>42</v>
      </c>
      <c r="C14" s="41">
        <v>2</v>
      </c>
      <c r="D14" s="92">
        <f t="shared" si="1"/>
        <v>0.13333333333333333</v>
      </c>
    </row>
    <row r="15" spans="1:4" x14ac:dyDescent="0.2">
      <c r="C15" s="90">
        <f>SUM(C12:C14)</f>
        <v>15</v>
      </c>
      <c r="D15" s="92">
        <f>SUM(D12:D14)</f>
        <v>0.99999999999999989</v>
      </c>
    </row>
    <row r="17" spans="1:4" x14ac:dyDescent="0.2">
      <c r="A17" s="93" t="s">
        <v>11</v>
      </c>
      <c r="B17" s="93" t="s">
        <v>44</v>
      </c>
      <c r="C17" s="93" t="s">
        <v>37</v>
      </c>
      <c r="D17" s="94" t="s">
        <v>16</v>
      </c>
    </row>
    <row r="18" spans="1:4" x14ac:dyDescent="0.2">
      <c r="A18" s="43" t="s">
        <v>25</v>
      </c>
      <c r="B18" s="43" t="s">
        <v>45</v>
      </c>
      <c r="C18" s="44">
        <v>1</v>
      </c>
      <c r="D18" s="92">
        <f t="shared" ref="D18:D23" si="2">C18/15</f>
        <v>6.6666666666666666E-2</v>
      </c>
    </row>
    <row r="19" spans="1:4" x14ac:dyDescent="0.2">
      <c r="A19" s="43" t="s">
        <v>25</v>
      </c>
      <c r="B19" s="43" t="s">
        <v>46</v>
      </c>
      <c r="C19" s="44">
        <v>6</v>
      </c>
      <c r="D19" s="92">
        <f t="shared" si="2"/>
        <v>0.4</v>
      </c>
    </row>
    <row r="20" spans="1:4" x14ac:dyDescent="0.2">
      <c r="A20" s="43" t="s">
        <v>25</v>
      </c>
      <c r="B20" s="43" t="s">
        <v>47</v>
      </c>
      <c r="C20" s="44">
        <v>1</v>
      </c>
      <c r="D20" s="92">
        <f t="shared" si="2"/>
        <v>6.6666666666666666E-2</v>
      </c>
    </row>
    <row r="21" spans="1:4" x14ac:dyDescent="0.2">
      <c r="A21" s="43" t="s">
        <v>25</v>
      </c>
      <c r="B21" s="43" t="s">
        <v>49</v>
      </c>
      <c r="C21" s="44">
        <v>2</v>
      </c>
      <c r="D21" s="92">
        <f t="shared" si="2"/>
        <v>0.13333333333333333</v>
      </c>
    </row>
    <row r="22" spans="1:4" x14ac:dyDescent="0.2">
      <c r="A22" s="43" t="s">
        <v>25</v>
      </c>
      <c r="B22" s="43" t="s">
        <v>51</v>
      </c>
      <c r="C22" s="44">
        <v>2</v>
      </c>
      <c r="D22" s="92">
        <f t="shared" si="2"/>
        <v>0.13333333333333333</v>
      </c>
    </row>
    <row r="23" spans="1:4" x14ac:dyDescent="0.2">
      <c r="A23" s="43" t="s">
        <v>25</v>
      </c>
      <c r="B23" s="43" t="s">
        <v>52</v>
      </c>
      <c r="C23" s="44">
        <v>3</v>
      </c>
      <c r="D23" s="92">
        <f t="shared" si="2"/>
        <v>0.2</v>
      </c>
    </row>
    <row r="24" spans="1:4" x14ac:dyDescent="0.2">
      <c r="C24" s="90">
        <f>SUM(C18:C23)</f>
        <v>15</v>
      </c>
      <c r="D24" s="92">
        <f>SUM(D18:D23)</f>
        <v>1</v>
      </c>
    </row>
    <row r="26" spans="1:4" ht="24" x14ac:dyDescent="0.2">
      <c r="A26" s="45" t="s">
        <v>11</v>
      </c>
      <c r="B26" s="45" t="s">
        <v>176</v>
      </c>
      <c r="C26" s="45" t="s">
        <v>37</v>
      </c>
      <c r="D26" s="5" t="s">
        <v>16</v>
      </c>
    </row>
    <row r="27" spans="1:4" x14ac:dyDescent="0.2">
      <c r="A27" s="46" t="s">
        <v>25</v>
      </c>
      <c r="B27" s="46" t="s">
        <v>54</v>
      </c>
      <c r="C27" s="47">
        <v>1</v>
      </c>
      <c r="D27" s="92">
        <f t="shared" ref="D27:D30" si="3">C27/15</f>
        <v>6.6666666666666666E-2</v>
      </c>
    </row>
    <row r="28" spans="1:4" x14ac:dyDescent="0.2">
      <c r="A28" s="46" t="s">
        <v>25</v>
      </c>
      <c r="B28" s="46" t="s">
        <v>57</v>
      </c>
      <c r="C28" s="47">
        <v>12</v>
      </c>
      <c r="D28" s="92">
        <f t="shared" si="3"/>
        <v>0.8</v>
      </c>
    </row>
    <row r="29" spans="1:4" x14ac:dyDescent="0.2">
      <c r="A29" s="46" t="s">
        <v>25</v>
      </c>
      <c r="B29" s="46" t="s">
        <v>53</v>
      </c>
      <c r="C29" s="47">
        <v>1</v>
      </c>
      <c r="D29" s="92">
        <f t="shared" si="3"/>
        <v>6.6666666666666666E-2</v>
      </c>
    </row>
    <row r="30" spans="1:4" x14ac:dyDescent="0.2">
      <c r="A30" s="46" t="s">
        <v>25</v>
      </c>
      <c r="B30" s="46" t="s">
        <v>56</v>
      </c>
      <c r="C30" s="47">
        <v>1</v>
      </c>
      <c r="D30" s="92">
        <f t="shared" si="3"/>
        <v>6.6666666666666666E-2</v>
      </c>
    </row>
    <row r="31" spans="1:4" x14ac:dyDescent="0.2">
      <c r="C31" s="90">
        <f>SUM(C27:C30)</f>
        <v>15</v>
      </c>
      <c r="D31" s="92">
        <f>SUM(D27:D30)</f>
        <v>1</v>
      </c>
    </row>
    <row r="33" spans="1:4" x14ac:dyDescent="0.2">
      <c r="A33" s="48" t="s">
        <v>11</v>
      </c>
      <c r="B33" s="48" t="s">
        <v>177</v>
      </c>
      <c r="C33" s="48" t="s">
        <v>37</v>
      </c>
      <c r="D33" s="5" t="s">
        <v>16</v>
      </c>
    </row>
    <row r="34" spans="1:4" x14ac:dyDescent="0.2">
      <c r="A34" s="49" t="s">
        <v>25</v>
      </c>
      <c r="B34" s="49" t="s">
        <v>178</v>
      </c>
      <c r="C34" s="50">
        <v>1</v>
      </c>
      <c r="D34" s="92">
        <f t="shared" ref="D34:D40" si="4">C34/15</f>
        <v>6.6666666666666666E-2</v>
      </c>
    </row>
    <row r="35" spans="1:4" x14ac:dyDescent="0.2">
      <c r="A35" s="49" t="s">
        <v>25</v>
      </c>
      <c r="B35" s="49" t="s">
        <v>179</v>
      </c>
      <c r="C35" s="50">
        <v>1</v>
      </c>
      <c r="D35" s="92">
        <f t="shared" si="4"/>
        <v>6.6666666666666666E-2</v>
      </c>
    </row>
    <row r="36" spans="1:4" x14ac:dyDescent="0.2">
      <c r="A36" s="49" t="s">
        <v>25</v>
      </c>
      <c r="B36" s="49" t="s">
        <v>180</v>
      </c>
      <c r="C36" s="50">
        <v>2</v>
      </c>
      <c r="D36" s="92">
        <f t="shared" si="4"/>
        <v>0.13333333333333333</v>
      </c>
    </row>
    <row r="37" spans="1:4" ht="24" x14ac:dyDescent="0.2">
      <c r="A37" s="49" t="s">
        <v>25</v>
      </c>
      <c r="B37" s="49" t="s">
        <v>214</v>
      </c>
      <c r="C37" s="50">
        <v>1</v>
      </c>
      <c r="D37" s="92">
        <f t="shared" si="4"/>
        <v>6.6666666666666666E-2</v>
      </c>
    </row>
    <row r="38" spans="1:4" x14ac:dyDescent="0.2">
      <c r="A38" s="49" t="s">
        <v>25</v>
      </c>
      <c r="B38" s="49" t="s">
        <v>182</v>
      </c>
      <c r="C38" s="50">
        <v>1</v>
      </c>
      <c r="D38" s="92">
        <f t="shared" si="4"/>
        <v>6.6666666666666666E-2</v>
      </c>
    </row>
    <row r="39" spans="1:4" x14ac:dyDescent="0.2">
      <c r="A39" s="49" t="s">
        <v>25</v>
      </c>
      <c r="B39" s="49" t="s">
        <v>215</v>
      </c>
      <c r="C39" s="50">
        <v>8</v>
      </c>
      <c r="D39" s="92">
        <f t="shared" si="4"/>
        <v>0.53333333333333333</v>
      </c>
    </row>
    <row r="40" spans="1:4" x14ac:dyDescent="0.2">
      <c r="A40" s="90" t="s">
        <v>25</v>
      </c>
      <c r="B40" s="90" t="s">
        <v>33</v>
      </c>
      <c r="C40" s="90">
        <v>1</v>
      </c>
      <c r="D40" s="92">
        <f t="shared" si="4"/>
        <v>6.6666666666666666E-2</v>
      </c>
    </row>
    <row r="41" spans="1:4" x14ac:dyDescent="0.2">
      <c r="C41" s="90">
        <f>SUM(C34:C40)</f>
        <v>15</v>
      </c>
      <c r="D41" s="92">
        <f>SUM(D34:D40)</f>
        <v>1</v>
      </c>
    </row>
    <row r="43" spans="1:4" x14ac:dyDescent="0.2">
      <c r="A43" s="34" t="s">
        <v>11</v>
      </c>
      <c r="B43" s="34" t="s">
        <v>183</v>
      </c>
      <c r="C43" s="34" t="s">
        <v>37</v>
      </c>
      <c r="D43" s="5" t="s">
        <v>16</v>
      </c>
    </row>
    <row r="44" spans="1:4" x14ac:dyDescent="0.2">
      <c r="A44" s="36" t="s">
        <v>25</v>
      </c>
      <c r="B44" s="36" t="s">
        <v>60</v>
      </c>
      <c r="C44" s="37">
        <v>3</v>
      </c>
      <c r="D44" s="92">
        <f t="shared" ref="D44" si="5">C44/15</f>
        <v>0.2</v>
      </c>
    </row>
    <row r="45" spans="1:4" x14ac:dyDescent="0.2">
      <c r="D45" s="92">
        <f>SUM(D44)</f>
        <v>0.2</v>
      </c>
    </row>
    <row r="47" spans="1:4" x14ac:dyDescent="0.2">
      <c r="A47" s="34" t="s">
        <v>11</v>
      </c>
      <c r="B47" s="34" t="s">
        <v>61</v>
      </c>
      <c r="C47" s="34" t="s">
        <v>37</v>
      </c>
      <c r="D47" s="5" t="s">
        <v>16</v>
      </c>
    </row>
    <row r="48" spans="1:4" x14ac:dyDescent="0.2">
      <c r="A48" s="36" t="s">
        <v>25</v>
      </c>
      <c r="B48" s="36" t="s">
        <v>216</v>
      </c>
      <c r="C48" s="37">
        <v>2</v>
      </c>
      <c r="D48" s="92">
        <f t="shared" ref="D48:D51" si="6">C48/15</f>
        <v>0.13333333333333333</v>
      </c>
    </row>
    <row r="49" spans="1:4" x14ac:dyDescent="0.2">
      <c r="A49" s="36" t="s">
        <v>25</v>
      </c>
      <c r="B49" s="36" t="s">
        <v>185</v>
      </c>
      <c r="C49" s="37">
        <v>1</v>
      </c>
      <c r="D49" s="92">
        <f t="shared" si="6"/>
        <v>6.6666666666666666E-2</v>
      </c>
    </row>
    <row r="50" spans="1:4" x14ac:dyDescent="0.2">
      <c r="A50" s="36" t="s">
        <v>25</v>
      </c>
      <c r="B50" s="36" t="s">
        <v>283</v>
      </c>
      <c r="C50" s="37">
        <v>1</v>
      </c>
      <c r="D50" s="92">
        <f t="shared" si="6"/>
        <v>6.6666666666666666E-2</v>
      </c>
    </row>
    <row r="51" spans="1:4" x14ac:dyDescent="0.2">
      <c r="A51" s="90" t="s">
        <v>25</v>
      </c>
      <c r="B51" s="90" t="s">
        <v>33</v>
      </c>
      <c r="C51" s="90">
        <v>8</v>
      </c>
      <c r="D51" s="92">
        <f t="shared" si="6"/>
        <v>0.53333333333333333</v>
      </c>
    </row>
    <row r="52" spans="1:4" x14ac:dyDescent="0.2">
      <c r="C52" s="90">
        <f>SUM(C48:C51)</f>
        <v>12</v>
      </c>
      <c r="D52" s="92">
        <f>SUM(D48:D51)</f>
        <v>0.8</v>
      </c>
    </row>
    <row r="54" spans="1:4" x14ac:dyDescent="0.2">
      <c r="A54" s="12"/>
      <c r="B54" s="24" t="s">
        <v>63</v>
      </c>
      <c r="C54" s="12"/>
      <c r="D54" s="12"/>
    </row>
    <row r="55" spans="1:4" x14ac:dyDescent="0.2">
      <c r="A55" s="42" t="s">
        <v>11</v>
      </c>
      <c r="B55" s="42" t="s">
        <v>64</v>
      </c>
      <c r="C55" s="42" t="s">
        <v>186</v>
      </c>
      <c r="D55" s="5" t="s">
        <v>16</v>
      </c>
    </row>
    <row r="56" spans="1:4" ht="24" x14ac:dyDescent="0.2">
      <c r="A56" s="43" t="s">
        <v>25</v>
      </c>
      <c r="B56" s="43" t="s">
        <v>65</v>
      </c>
      <c r="C56" s="44">
        <v>3</v>
      </c>
      <c r="D56" s="6">
        <f>C56/17</f>
        <v>0.17647058823529413</v>
      </c>
    </row>
    <row r="57" spans="1:4" x14ac:dyDescent="0.2">
      <c r="A57" s="43" t="s">
        <v>25</v>
      </c>
      <c r="B57" s="43" t="s">
        <v>76</v>
      </c>
      <c r="C57" s="44">
        <v>4</v>
      </c>
      <c r="D57" s="6">
        <f t="shared" ref="D57:D62" si="7">C57/17</f>
        <v>0.23529411764705882</v>
      </c>
    </row>
    <row r="58" spans="1:4" x14ac:dyDescent="0.2">
      <c r="A58" s="43" t="s">
        <v>25</v>
      </c>
      <c r="B58" s="43" t="s">
        <v>77</v>
      </c>
      <c r="C58" s="44">
        <v>1</v>
      </c>
      <c r="D58" s="6">
        <f t="shared" si="7"/>
        <v>5.8823529411764705E-2</v>
      </c>
    </row>
    <row r="59" spans="1:4" x14ac:dyDescent="0.2">
      <c r="A59" s="43" t="s">
        <v>25</v>
      </c>
      <c r="B59" s="43" t="s">
        <v>67</v>
      </c>
      <c r="C59" s="44">
        <v>1</v>
      </c>
      <c r="D59" s="6">
        <f t="shared" si="7"/>
        <v>5.8823529411764705E-2</v>
      </c>
    </row>
    <row r="60" spans="1:4" x14ac:dyDescent="0.2">
      <c r="A60" s="43" t="s">
        <v>25</v>
      </c>
      <c r="B60" s="43" t="s">
        <v>68</v>
      </c>
      <c r="C60" s="44">
        <v>4</v>
      </c>
      <c r="D60" s="6">
        <f t="shared" si="7"/>
        <v>0.23529411764705882</v>
      </c>
    </row>
    <row r="61" spans="1:4" ht="24" x14ac:dyDescent="0.2">
      <c r="A61" s="43" t="s">
        <v>25</v>
      </c>
      <c r="B61" s="43" t="s">
        <v>70</v>
      </c>
      <c r="C61" s="44">
        <v>1</v>
      </c>
      <c r="D61" s="6">
        <f t="shared" si="7"/>
        <v>5.8823529411764705E-2</v>
      </c>
    </row>
    <row r="62" spans="1:4" ht="24" x14ac:dyDescent="0.2">
      <c r="A62" s="43" t="s">
        <v>25</v>
      </c>
      <c r="B62" s="43" t="s">
        <v>72</v>
      </c>
      <c r="C62" s="44">
        <v>3</v>
      </c>
      <c r="D62" s="6">
        <f t="shared" si="7"/>
        <v>0.17647058823529413</v>
      </c>
    </row>
    <row r="63" spans="1:4" x14ac:dyDescent="0.2">
      <c r="C63" s="90">
        <f>SUM(C56:C62)</f>
        <v>17</v>
      </c>
      <c r="D63" s="92">
        <f>SUM(D56:D62)</f>
        <v>1</v>
      </c>
    </row>
    <row r="65" spans="1:4" x14ac:dyDescent="0.2">
      <c r="B65" s="24" t="s">
        <v>63</v>
      </c>
    </row>
    <row r="66" spans="1:4" x14ac:dyDescent="0.2">
      <c r="A66" s="95" t="s">
        <v>11</v>
      </c>
      <c r="B66" s="95" t="s">
        <v>187</v>
      </c>
      <c r="C66" s="95" t="s">
        <v>37</v>
      </c>
      <c r="D66" s="94" t="s">
        <v>16</v>
      </c>
    </row>
    <row r="67" spans="1:4" x14ac:dyDescent="0.2">
      <c r="A67" s="46" t="s">
        <v>25</v>
      </c>
      <c r="B67" s="46" t="s">
        <v>174</v>
      </c>
      <c r="C67" s="47">
        <v>3</v>
      </c>
      <c r="D67" s="92">
        <f>C67/12</f>
        <v>0.25</v>
      </c>
    </row>
    <row r="68" spans="1:4" x14ac:dyDescent="0.2">
      <c r="A68" s="46" t="s">
        <v>25</v>
      </c>
      <c r="B68" s="46" t="s">
        <v>81</v>
      </c>
      <c r="C68" s="47">
        <v>2</v>
      </c>
      <c r="D68" s="92">
        <f t="shared" ref="D68:D71" si="8">C68/12</f>
        <v>0.16666666666666666</v>
      </c>
    </row>
    <row r="69" spans="1:4" x14ac:dyDescent="0.2">
      <c r="A69" s="46" t="s">
        <v>25</v>
      </c>
      <c r="B69" s="46" t="s">
        <v>82</v>
      </c>
      <c r="C69" s="47">
        <v>5</v>
      </c>
      <c r="D69" s="92">
        <f t="shared" si="8"/>
        <v>0.41666666666666669</v>
      </c>
    </row>
    <row r="70" spans="1:4" ht="24" x14ac:dyDescent="0.2">
      <c r="A70" s="46" t="s">
        <v>25</v>
      </c>
      <c r="B70" s="46" t="s">
        <v>83</v>
      </c>
      <c r="C70" s="47">
        <v>1</v>
      </c>
      <c r="D70" s="92">
        <f t="shared" si="8"/>
        <v>8.3333333333333329E-2</v>
      </c>
    </row>
    <row r="71" spans="1:4" x14ac:dyDescent="0.2">
      <c r="A71" s="46" t="s">
        <v>25</v>
      </c>
      <c r="B71" s="46" t="s">
        <v>84</v>
      </c>
      <c r="C71" s="47">
        <v>1</v>
      </c>
      <c r="D71" s="92">
        <f t="shared" si="8"/>
        <v>8.3333333333333329E-2</v>
      </c>
    </row>
    <row r="72" spans="1:4" x14ac:dyDescent="0.2">
      <c r="C72" s="90">
        <f>SUM(C67:C71)</f>
        <v>12</v>
      </c>
      <c r="D72" s="92">
        <f>SUM(D67:D71)</f>
        <v>1</v>
      </c>
    </row>
    <row r="74" spans="1:4" x14ac:dyDescent="0.2">
      <c r="B74" s="24" t="s">
        <v>63</v>
      </c>
    </row>
    <row r="75" spans="1:4" x14ac:dyDescent="0.2">
      <c r="A75" s="96" t="s">
        <v>11</v>
      </c>
      <c r="B75" s="96" t="s">
        <v>87</v>
      </c>
      <c r="C75" s="96" t="s">
        <v>37</v>
      </c>
    </row>
    <row r="76" spans="1:4" x14ac:dyDescent="0.2">
      <c r="A76" s="49" t="s">
        <v>25</v>
      </c>
      <c r="B76" s="49" t="s">
        <v>88</v>
      </c>
      <c r="C76" s="50">
        <v>1</v>
      </c>
      <c r="D76" s="92">
        <f>C76/6</f>
        <v>0.16666666666666666</v>
      </c>
    </row>
    <row r="77" spans="1:4" x14ac:dyDescent="0.2">
      <c r="A77" s="49" t="s">
        <v>25</v>
      </c>
      <c r="B77" s="49" t="s">
        <v>91</v>
      </c>
      <c r="C77" s="50">
        <v>2</v>
      </c>
      <c r="D77" s="92">
        <f t="shared" ref="D77:D79" si="9">C77/6</f>
        <v>0.33333333333333331</v>
      </c>
    </row>
    <row r="78" spans="1:4" ht="24" x14ac:dyDescent="0.2">
      <c r="A78" s="49" t="s">
        <v>25</v>
      </c>
      <c r="B78" s="49" t="s">
        <v>92</v>
      </c>
      <c r="C78" s="50">
        <v>2</v>
      </c>
      <c r="D78" s="92">
        <f t="shared" si="9"/>
        <v>0.33333333333333331</v>
      </c>
    </row>
    <row r="79" spans="1:4" x14ac:dyDescent="0.2">
      <c r="A79" s="49" t="s">
        <v>25</v>
      </c>
      <c r="B79" s="49" t="s">
        <v>95</v>
      </c>
      <c r="C79" s="50">
        <v>1</v>
      </c>
      <c r="D79" s="92">
        <f t="shared" si="9"/>
        <v>0.16666666666666666</v>
      </c>
    </row>
    <row r="80" spans="1:4" x14ac:dyDescent="0.2">
      <c r="C80" s="90">
        <f>SUM(C76:C79)</f>
        <v>6</v>
      </c>
      <c r="D80" s="92">
        <f>SUM(D76:D79)</f>
        <v>0.99999999999999989</v>
      </c>
    </row>
    <row r="82" spans="1:5" x14ac:dyDescent="0.2">
      <c r="B82" s="24" t="s">
        <v>63</v>
      </c>
    </row>
    <row r="83" spans="1:5" x14ac:dyDescent="0.2">
      <c r="A83" s="97" t="s">
        <v>11</v>
      </c>
      <c r="B83" s="97" t="s">
        <v>188</v>
      </c>
      <c r="C83" s="97" t="s">
        <v>37</v>
      </c>
      <c r="D83" s="94" t="s">
        <v>16</v>
      </c>
    </row>
    <row r="84" spans="1:5" ht="24" x14ac:dyDescent="0.2">
      <c r="A84" s="52" t="s">
        <v>25</v>
      </c>
      <c r="B84" s="52" t="s">
        <v>98</v>
      </c>
      <c r="C84" s="53">
        <v>3</v>
      </c>
      <c r="D84" s="92">
        <f>C84/10</f>
        <v>0.3</v>
      </c>
    </row>
    <row r="85" spans="1:5" ht="24" x14ac:dyDescent="0.2">
      <c r="A85" s="52" t="s">
        <v>25</v>
      </c>
      <c r="B85" s="52" t="s">
        <v>99</v>
      </c>
      <c r="C85" s="53">
        <v>1</v>
      </c>
      <c r="D85" s="92">
        <f t="shared" ref="D85:D88" si="10">C85/10</f>
        <v>0.1</v>
      </c>
    </row>
    <row r="86" spans="1:5" ht="24" x14ac:dyDescent="0.2">
      <c r="A86" s="52" t="s">
        <v>25</v>
      </c>
      <c r="B86" s="52" t="s">
        <v>102</v>
      </c>
      <c r="C86" s="53">
        <v>2</v>
      </c>
      <c r="D86" s="92">
        <f t="shared" si="10"/>
        <v>0.2</v>
      </c>
    </row>
    <row r="87" spans="1:5" ht="24" x14ac:dyDescent="0.2">
      <c r="A87" s="52" t="s">
        <v>25</v>
      </c>
      <c r="B87" s="52" t="s">
        <v>103</v>
      </c>
      <c r="C87" s="53">
        <v>3</v>
      </c>
      <c r="D87" s="92">
        <f t="shared" si="10"/>
        <v>0.3</v>
      </c>
    </row>
    <row r="88" spans="1:5" x14ac:dyDescent="0.2">
      <c r="A88" s="52" t="s">
        <v>25</v>
      </c>
      <c r="B88" s="52" t="s">
        <v>104</v>
      </c>
      <c r="C88" s="53">
        <v>1</v>
      </c>
      <c r="D88" s="92">
        <f t="shared" si="10"/>
        <v>0.1</v>
      </c>
    </row>
    <row r="89" spans="1:5" x14ac:dyDescent="0.2">
      <c r="C89" s="90">
        <f>SUM(C84:C88)</f>
        <v>10</v>
      </c>
      <c r="D89" s="92">
        <f>SUM(D84:D88)</f>
        <v>1.0000000000000002</v>
      </c>
    </row>
    <row r="91" spans="1:5" ht="36" x14ac:dyDescent="0.2">
      <c r="A91" s="54" t="s">
        <v>11</v>
      </c>
      <c r="B91" s="54" t="s">
        <v>202</v>
      </c>
      <c r="C91" s="5" t="s">
        <v>203</v>
      </c>
      <c r="D91" s="94" t="s">
        <v>3</v>
      </c>
      <c r="E91" s="5" t="s">
        <v>10</v>
      </c>
    </row>
    <row r="92" spans="1:5" x14ac:dyDescent="0.2">
      <c r="A92" s="46" t="s">
        <v>25</v>
      </c>
      <c r="B92" s="47">
        <v>4</v>
      </c>
      <c r="C92" s="90">
        <v>2</v>
      </c>
      <c r="D92" s="90">
        <f>SUM(B92:C92)</f>
        <v>6</v>
      </c>
      <c r="E92" s="90">
        <v>2</v>
      </c>
    </row>
    <row r="95" spans="1:5" ht="24" x14ac:dyDescent="0.2">
      <c r="A95" s="55" t="s">
        <v>11</v>
      </c>
      <c r="B95" s="55" t="s">
        <v>189</v>
      </c>
      <c r="C95" s="56" t="s">
        <v>37</v>
      </c>
      <c r="D95" s="5" t="s">
        <v>16</v>
      </c>
    </row>
    <row r="96" spans="1:5" x14ac:dyDescent="0.2">
      <c r="A96" s="57" t="s">
        <v>25</v>
      </c>
      <c r="B96" s="57" t="s">
        <v>60</v>
      </c>
      <c r="C96" s="58">
        <v>10</v>
      </c>
      <c r="D96" s="92">
        <f>C96/15</f>
        <v>0.66666666666666663</v>
      </c>
    </row>
    <row r="99" spans="1:5" ht="36" x14ac:dyDescent="0.2">
      <c r="A99" s="59" t="s">
        <v>11</v>
      </c>
      <c r="B99" s="59" t="s">
        <v>190</v>
      </c>
      <c r="C99" s="59" t="s">
        <v>37</v>
      </c>
      <c r="D99" s="5" t="s">
        <v>221</v>
      </c>
      <c r="E99" s="5" t="s">
        <v>3</v>
      </c>
    </row>
    <row r="100" spans="1:5" x14ac:dyDescent="0.2">
      <c r="A100" s="60" t="s">
        <v>25</v>
      </c>
      <c r="B100" s="60" t="s">
        <v>60</v>
      </c>
      <c r="C100" s="61">
        <v>2</v>
      </c>
      <c r="D100" s="90">
        <v>0</v>
      </c>
      <c r="E100" s="90">
        <v>2</v>
      </c>
    </row>
    <row r="103" spans="1:5" ht="24" x14ac:dyDescent="0.2">
      <c r="A103" s="62" t="s">
        <v>11</v>
      </c>
      <c r="B103" s="62" t="s">
        <v>191</v>
      </c>
      <c r="C103" s="62" t="s">
        <v>37</v>
      </c>
      <c r="D103" s="5" t="s">
        <v>16</v>
      </c>
    </row>
    <row r="104" spans="1:5" x14ac:dyDescent="0.2">
      <c r="A104" s="63" t="s">
        <v>25</v>
      </c>
      <c r="B104" s="63" t="s">
        <v>60</v>
      </c>
      <c r="C104" s="64">
        <v>2</v>
      </c>
      <c r="D104" s="92">
        <f>C104/15</f>
        <v>0.13333333333333333</v>
      </c>
    </row>
    <row r="106" spans="1:5" ht="36" x14ac:dyDescent="0.2">
      <c r="A106" s="98" t="s">
        <v>11</v>
      </c>
      <c r="B106" s="98" t="s">
        <v>222</v>
      </c>
      <c r="C106" s="98" t="s">
        <v>37</v>
      </c>
      <c r="D106" s="5" t="s">
        <v>223</v>
      </c>
    </row>
    <row r="107" spans="1:5" x14ac:dyDescent="0.2">
      <c r="A107" s="99" t="s">
        <v>25</v>
      </c>
      <c r="B107" s="99" t="s">
        <v>60</v>
      </c>
      <c r="C107" s="100">
        <v>2</v>
      </c>
      <c r="D107" s="134">
        <v>1</v>
      </c>
    </row>
    <row r="109" spans="1:5" x14ac:dyDescent="0.2">
      <c r="A109" s="65" t="s">
        <v>11</v>
      </c>
      <c r="B109" s="65" t="s">
        <v>192</v>
      </c>
      <c r="C109" s="65" t="s">
        <v>37</v>
      </c>
      <c r="D109" s="5" t="s">
        <v>16</v>
      </c>
    </row>
    <row r="110" spans="1:5" x14ac:dyDescent="0.2">
      <c r="A110" s="66" t="s">
        <v>25</v>
      </c>
      <c r="B110" s="66" t="s">
        <v>60</v>
      </c>
      <c r="C110" s="67">
        <v>3</v>
      </c>
      <c r="D110" s="92">
        <f>C110/15</f>
        <v>0.2</v>
      </c>
    </row>
    <row r="112" spans="1:5" ht="24" x14ac:dyDescent="0.2">
      <c r="A112" s="65" t="s">
        <v>11</v>
      </c>
      <c r="B112" s="65" t="s">
        <v>224</v>
      </c>
      <c r="C112" s="65" t="s">
        <v>37</v>
      </c>
      <c r="D112" s="5" t="s">
        <v>225</v>
      </c>
    </row>
    <row r="113" spans="1:6" x14ac:dyDescent="0.2">
      <c r="A113" s="66" t="s">
        <v>25</v>
      </c>
      <c r="B113" s="66" t="s">
        <v>114</v>
      </c>
      <c r="C113" s="67">
        <v>1</v>
      </c>
      <c r="D113" s="6">
        <f>C113/3</f>
        <v>0.33333333333333331</v>
      </c>
    </row>
    <row r="114" spans="1:6" x14ac:dyDescent="0.2">
      <c r="A114" s="66" t="s">
        <v>25</v>
      </c>
      <c r="B114" s="66" t="s">
        <v>115</v>
      </c>
      <c r="C114" s="67">
        <v>1</v>
      </c>
      <c r="D114" s="6">
        <f>C114/3</f>
        <v>0.33333333333333331</v>
      </c>
    </row>
    <row r="115" spans="1:6" x14ac:dyDescent="0.2">
      <c r="A115" s="90" t="s">
        <v>25</v>
      </c>
      <c r="B115" s="90" t="s">
        <v>33</v>
      </c>
      <c r="C115" s="90">
        <v>1</v>
      </c>
      <c r="D115" s="6">
        <f>C115/3</f>
        <v>0.33333333333333331</v>
      </c>
    </row>
    <row r="116" spans="1:6" x14ac:dyDescent="0.2">
      <c r="C116" s="90">
        <f>SUM(C113:C115)</f>
        <v>3</v>
      </c>
      <c r="D116" s="92">
        <f>SUM(D113:D115)</f>
        <v>1</v>
      </c>
    </row>
    <row r="117" spans="1:6" x14ac:dyDescent="0.2">
      <c r="B117" s="104" t="s">
        <v>63</v>
      </c>
    </row>
    <row r="118" spans="1:6" x14ac:dyDescent="0.2">
      <c r="A118" s="68" t="s">
        <v>11</v>
      </c>
      <c r="B118" s="68" t="s">
        <v>193</v>
      </c>
      <c r="C118" s="68" t="s">
        <v>37</v>
      </c>
      <c r="D118" s="5" t="s">
        <v>16</v>
      </c>
    </row>
    <row r="119" spans="1:6" x14ac:dyDescent="0.2">
      <c r="A119" s="102" t="s">
        <v>25</v>
      </c>
      <c r="B119" s="102" t="s">
        <v>117</v>
      </c>
      <c r="C119" s="103">
        <v>3</v>
      </c>
      <c r="D119" s="92">
        <f>C119/8</f>
        <v>0.375</v>
      </c>
    </row>
    <row r="120" spans="1:6" x14ac:dyDescent="0.2">
      <c r="A120" s="102" t="s">
        <v>25</v>
      </c>
      <c r="B120" s="102" t="s">
        <v>118</v>
      </c>
      <c r="C120" s="103">
        <v>2</v>
      </c>
      <c r="D120" s="92">
        <f t="shared" ref="D120:D123" si="11">C120/8</f>
        <v>0.25</v>
      </c>
    </row>
    <row r="121" spans="1:6" x14ac:dyDescent="0.2">
      <c r="A121" s="102" t="s">
        <v>25</v>
      </c>
      <c r="B121" s="102" t="s">
        <v>119</v>
      </c>
      <c r="C121" s="103">
        <v>1</v>
      </c>
      <c r="D121" s="92">
        <f t="shared" si="11"/>
        <v>0.125</v>
      </c>
    </row>
    <row r="122" spans="1:6" x14ac:dyDescent="0.2">
      <c r="A122" s="102" t="s">
        <v>25</v>
      </c>
      <c r="B122" s="102" t="s">
        <v>120</v>
      </c>
      <c r="C122" s="103">
        <v>1</v>
      </c>
      <c r="D122" s="92">
        <f t="shared" si="11"/>
        <v>0.125</v>
      </c>
    </row>
    <row r="123" spans="1:6" x14ac:dyDescent="0.2">
      <c r="A123" s="102" t="s">
        <v>25</v>
      </c>
      <c r="B123" s="102" t="s">
        <v>121</v>
      </c>
      <c r="C123" s="103">
        <v>1</v>
      </c>
      <c r="D123" s="92">
        <f t="shared" si="11"/>
        <v>0.125</v>
      </c>
    </row>
    <row r="124" spans="1:6" x14ac:dyDescent="0.2">
      <c r="C124" s="90">
        <f>SUM(C119:C123)</f>
        <v>8</v>
      </c>
      <c r="D124" s="92">
        <f>SUM(D119:D123)</f>
        <v>1</v>
      </c>
    </row>
    <row r="126" spans="1:6" ht="24" x14ac:dyDescent="0.2">
      <c r="A126" s="71" t="s">
        <v>11</v>
      </c>
      <c r="B126" s="71" t="s">
        <v>124</v>
      </c>
      <c r="C126" s="71" t="s">
        <v>175</v>
      </c>
      <c r="D126" s="71" t="s">
        <v>194</v>
      </c>
      <c r="E126" s="71" t="s">
        <v>3</v>
      </c>
      <c r="F126" s="71" t="s">
        <v>16</v>
      </c>
    </row>
    <row r="127" spans="1:6" s="145" customFormat="1" x14ac:dyDescent="0.2">
      <c r="A127" s="72" t="s">
        <v>25</v>
      </c>
      <c r="B127" s="72" t="s">
        <v>195</v>
      </c>
      <c r="C127" s="73">
        <v>0</v>
      </c>
      <c r="D127" s="73">
        <v>4</v>
      </c>
      <c r="E127" s="73">
        <f>SUM(C127:D127)</f>
        <v>4</v>
      </c>
      <c r="F127" s="114">
        <f>E127/22</f>
        <v>0.18181818181818182</v>
      </c>
    </row>
    <row r="128" spans="1:6" x14ac:dyDescent="0.2">
      <c r="A128" s="76" t="s">
        <v>25</v>
      </c>
      <c r="B128" s="76" t="s">
        <v>129</v>
      </c>
      <c r="C128" s="77">
        <v>2</v>
      </c>
      <c r="D128" s="90">
        <v>1</v>
      </c>
      <c r="E128" s="73">
        <f t="shared" ref="E128:E131" si="12">SUM(C128:D128)</f>
        <v>3</v>
      </c>
      <c r="F128" s="114">
        <f t="shared" ref="F128:F131" si="13">E128/22</f>
        <v>0.13636363636363635</v>
      </c>
    </row>
    <row r="129" spans="1:6" x14ac:dyDescent="0.2">
      <c r="A129" s="76" t="s">
        <v>25</v>
      </c>
      <c r="B129" s="76" t="s">
        <v>130</v>
      </c>
      <c r="C129" s="77">
        <v>3</v>
      </c>
      <c r="D129" s="90">
        <v>2</v>
      </c>
      <c r="E129" s="73">
        <f t="shared" si="12"/>
        <v>5</v>
      </c>
      <c r="F129" s="114">
        <f t="shared" si="13"/>
        <v>0.22727272727272727</v>
      </c>
    </row>
    <row r="130" spans="1:6" x14ac:dyDescent="0.2">
      <c r="A130" s="76" t="s">
        <v>25</v>
      </c>
      <c r="B130" s="76" t="s">
        <v>131</v>
      </c>
      <c r="C130" s="77">
        <v>9</v>
      </c>
      <c r="D130" s="90">
        <v>0</v>
      </c>
      <c r="E130" s="73">
        <f t="shared" si="12"/>
        <v>9</v>
      </c>
      <c r="F130" s="114">
        <f t="shared" si="13"/>
        <v>0.40909090909090912</v>
      </c>
    </row>
    <row r="131" spans="1:6" x14ac:dyDescent="0.2">
      <c r="A131" s="76" t="s">
        <v>25</v>
      </c>
      <c r="B131" s="76" t="s">
        <v>132</v>
      </c>
      <c r="C131" s="77">
        <v>1</v>
      </c>
      <c r="D131" s="90">
        <v>0</v>
      </c>
      <c r="E131" s="73">
        <f t="shared" si="12"/>
        <v>1</v>
      </c>
      <c r="F131" s="114">
        <f t="shared" si="13"/>
        <v>4.5454545454545456E-2</v>
      </c>
    </row>
    <row r="132" spans="1:6" x14ac:dyDescent="0.2">
      <c r="A132" s="76"/>
      <c r="B132" s="76"/>
      <c r="C132" s="77">
        <f>SUM(C127:C131)</f>
        <v>15</v>
      </c>
      <c r="D132" s="90">
        <f>SUM(D127:D131)</f>
        <v>7</v>
      </c>
      <c r="E132" s="90">
        <f>SUM(E127:E131)</f>
        <v>22</v>
      </c>
      <c r="F132" s="92">
        <f>SUM(F127:F131)</f>
        <v>1</v>
      </c>
    </row>
    <row r="134" spans="1:6" ht="24" x14ac:dyDescent="0.2">
      <c r="A134" s="78" t="s">
        <v>11</v>
      </c>
      <c r="B134" s="78" t="s">
        <v>135</v>
      </c>
      <c r="C134" s="78" t="s">
        <v>196</v>
      </c>
      <c r="D134" s="78" t="s">
        <v>197</v>
      </c>
      <c r="E134" s="78" t="s">
        <v>3</v>
      </c>
      <c r="F134" s="78" t="s">
        <v>16</v>
      </c>
    </row>
    <row r="135" spans="1:6" x14ac:dyDescent="0.2">
      <c r="A135" s="79" t="s">
        <v>25</v>
      </c>
      <c r="B135" s="79" t="s">
        <v>137</v>
      </c>
      <c r="C135" s="80">
        <v>6</v>
      </c>
      <c r="D135" s="90">
        <v>3</v>
      </c>
      <c r="E135" s="90">
        <f>SUM(C135:D135)</f>
        <v>9</v>
      </c>
      <c r="F135" s="114">
        <f t="shared" ref="F135:F137" si="14">E135/22</f>
        <v>0.40909090909090912</v>
      </c>
    </row>
    <row r="136" spans="1:6" x14ac:dyDescent="0.2">
      <c r="A136" s="79" t="s">
        <v>25</v>
      </c>
      <c r="B136" s="79" t="s">
        <v>140</v>
      </c>
      <c r="C136" s="80">
        <v>9</v>
      </c>
      <c r="D136" s="90">
        <v>2</v>
      </c>
      <c r="E136" s="90">
        <f t="shared" ref="E136:E137" si="15">SUM(C136:D136)</f>
        <v>11</v>
      </c>
      <c r="F136" s="114">
        <f t="shared" si="14"/>
        <v>0.5</v>
      </c>
    </row>
    <row r="137" spans="1:6" x14ac:dyDescent="0.2">
      <c r="A137" s="79" t="s">
        <v>25</v>
      </c>
      <c r="B137" s="79" t="s">
        <v>284</v>
      </c>
      <c r="C137" s="90">
        <v>0</v>
      </c>
      <c r="D137" s="90">
        <v>2</v>
      </c>
      <c r="E137" s="90">
        <f t="shared" si="15"/>
        <v>2</v>
      </c>
      <c r="F137" s="114">
        <f t="shared" si="14"/>
        <v>9.0909090909090912E-2</v>
      </c>
    </row>
    <row r="138" spans="1:6" x14ac:dyDescent="0.2">
      <c r="C138" s="90">
        <f>SUM(C135:C137)</f>
        <v>15</v>
      </c>
      <c r="D138" s="90">
        <f>SUM(D135:D137)</f>
        <v>7</v>
      </c>
      <c r="E138" s="90">
        <f>SUM(E135:E137)</f>
        <v>22</v>
      </c>
      <c r="F138" s="92">
        <f>SUM(F135:F137)</f>
        <v>1</v>
      </c>
    </row>
    <row r="140" spans="1:6" ht="24" x14ac:dyDescent="0.2">
      <c r="A140" s="78" t="s">
        <v>11</v>
      </c>
      <c r="B140" s="78" t="s">
        <v>198</v>
      </c>
      <c r="C140" s="78" t="s">
        <v>196</v>
      </c>
      <c r="D140" s="78" t="s">
        <v>197</v>
      </c>
      <c r="E140" s="78" t="s">
        <v>3</v>
      </c>
      <c r="F140" s="78" t="s">
        <v>16</v>
      </c>
    </row>
    <row r="141" spans="1:6" x14ac:dyDescent="0.2">
      <c r="A141" s="107" t="s">
        <v>25</v>
      </c>
      <c r="B141" s="107" t="s">
        <v>60</v>
      </c>
      <c r="C141" s="108">
        <v>2</v>
      </c>
      <c r="D141" s="90">
        <v>1</v>
      </c>
      <c r="E141" s="90">
        <f>SUM(C141:D141)</f>
        <v>3</v>
      </c>
      <c r="F141" s="114">
        <f t="shared" ref="F141" si="16">E141/22</f>
        <v>0.13636363636363635</v>
      </c>
    </row>
    <row r="144" spans="1:6" ht="24" x14ac:dyDescent="0.2">
      <c r="A144" s="82" t="s">
        <v>11</v>
      </c>
      <c r="B144" s="82" t="s">
        <v>199</v>
      </c>
      <c r="C144" s="82" t="s">
        <v>200</v>
      </c>
      <c r="D144" s="5" t="s">
        <v>125</v>
      </c>
      <c r="E144" s="82" t="s">
        <v>3</v>
      </c>
      <c r="F144" s="82" t="s">
        <v>16</v>
      </c>
    </row>
    <row r="145" spans="1:6" x14ac:dyDescent="0.2">
      <c r="A145" s="83" t="s">
        <v>25</v>
      </c>
      <c r="B145" s="83" t="s">
        <v>145</v>
      </c>
      <c r="C145" s="84">
        <v>12</v>
      </c>
      <c r="D145" s="84">
        <v>4</v>
      </c>
      <c r="E145" s="84">
        <f>SUM(C145:D145)</f>
        <v>16</v>
      </c>
      <c r="F145" s="114">
        <f t="shared" ref="F145:F146" si="17">E145/22</f>
        <v>0.72727272727272729</v>
      </c>
    </row>
    <row r="146" spans="1:6" x14ac:dyDescent="0.2">
      <c r="A146" s="83" t="s">
        <v>25</v>
      </c>
      <c r="B146" s="83" t="s">
        <v>146</v>
      </c>
      <c r="C146" s="84">
        <v>3</v>
      </c>
      <c r="D146" s="84">
        <v>3</v>
      </c>
      <c r="E146" s="84">
        <f>SUM(C146:D146)</f>
        <v>6</v>
      </c>
      <c r="F146" s="114">
        <f t="shared" si="17"/>
        <v>0.27272727272727271</v>
      </c>
    </row>
    <row r="147" spans="1:6" x14ac:dyDescent="0.2">
      <c r="C147" s="90">
        <f>SUM(C145:C146)</f>
        <v>15</v>
      </c>
      <c r="D147" s="90">
        <f>SUM(D145:D146)</f>
        <v>7</v>
      </c>
      <c r="E147" s="90">
        <f>SUM(E145:E146)</f>
        <v>22</v>
      </c>
      <c r="F147" s="92">
        <f>SUM(F145:F146)</f>
        <v>1</v>
      </c>
    </row>
    <row r="149" spans="1:6" ht="36" x14ac:dyDescent="0.2">
      <c r="A149" s="12"/>
      <c r="B149" s="3" t="s">
        <v>204</v>
      </c>
      <c r="C149" s="12"/>
      <c r="D149" s="12"/>
      <c r="E149" s="12"/>
    </row>
    <row r="150" spans="1:6" ht="36" x14ac:dyDescent="0.2">
      <c r="A150" s="85" t="s">
        <v>11</v>
      </c>
      <c r="B150" s="85" t="s">
        <v>205</v>
      </c>
      <c r="C150" s="85" t="s">
        <v>206</v>
      </c>
      <c r="D150" s="85" t="s">
        <v>207</v>
      </c>
      <c r="E150" s="5" t="s">
        <v>16</v>
      </c>
      <c r="F150" s="85" t="s">
        <v>208</v>
      </c>
    </row>
    <row r="151" spans="1:6" x14ac:dyDescent="0.2">
      <c r="A151" s="146" t="s">
        <v>25</v>
      </c>
      <c r="B151" s="146" t="s">
        <v>226</v>
      </c>
      <c r="C151" s="147">
        <v>3</v>
      </c>
      <c r="D151" s="147">
        <v>25</v>
      </c>
      <c r="E151" s="92">
        <f>D151/105</f>
        <v>0.23809523809523808</v>
      </c>
      <c r="F151" s="147">
        <v>25</v>
      </c>
    </row>
    <row r="152" spans="1:6" x14ac:dyDescent="0.2">
      <c r="A152" s="146" t="s">
        <v>25</v>
      </c>
      <c r="B152" s="146" t="s">
        <v>209</v>
      </c>
      <c r="C152" s="147">
        <v>2</v>
      </c>
      <c r="D152" s="147">
        <v>15</v>
      </c>
      <c r="E152" s="92">
        <f>D152/105</f>
        <v>0.14285714285714285</v>
      </c>
      <c r="F152" s="147">
        <v>15</v>
      </c>
    </row>
    <row r="153" spans="1:6" x14ac:dyDescent="0.2">
      <c r="A153" s="146" t="s">
        <v>25</v>
      </c>
      <c r="B153" s="146" t="s">
        <v>210</v>
      </c>
      <c r="C153" s="147">
        <v>2</v>
      </c>
      <c r="D153" s="147">
        <v>41</v>
      </c>
      <c r="E153" s="92">
        <f>D153/105</f>
        <v>0.39047619047619048</v>
      </c>
      <c r="F153" s="147">
        <v>41</v>
      </c>
    </row>
    <row r="154" spans="1:6" x14ac:dyDescent="0.2">
      <c r="A154" s="146" t="s">
        <v>25</v>
      </c>
      <c r="B154" s="146" t="s">
        <v>211</v>
      </c>
      <c r="C154" s="147">
        <v>1</v>
      </c>
      <c r="D154" s="147">
        <v>24</v>
      </c>
      <c r="E154" s="92">
        <f>D154/105</f>
        <v>0.22857142857142856</v>
      </c>
      <c r="F154" s="147">
        <v>24</v>
      </c>
    </row>
    <row r="155" spans="1:6" x14ac:dyDescent="0.2">
      <c r="C155" s="90">
        <f>SUM(C151:C154)</f>
        <v>8</v>
      </c>
      <c r="D155" s="90">
        <f>SUM(D151:D154)</f>
        <v>105</v>
      </c>
      <c r="E155" s="92">
        <f>SUM(E151:E154)</f>
        <v>0.99999999999999989</v>
      </c>
      <c r="F155" s="90">
        <f>SUM(F151:F154)</f>
        <v>105</v>
      </c>
    </row>
  </sheetData>
  <printOptions horizontalCentered="1"/>
  <pageMargins left="0.7" right="0.7" top="0.75" bottom="0.75" header="0.3" footer="0.3"/>
  <pageSetup orientation="portrait" horizontalDpi="4294967293" verticalDpi="4294967293" r:id="rId1"/>
  <headerFooter>
    <oddHeader>&amp;L&amp;"-,Bold"&amp;8Navajo County&amp;C&amp;"-,Bold"&amp;8AZ Balance of State
Continuum of Care
2018 Point In Time Data Report &amp;R&amp;"-,Bold"&amp;8&amp;P of &amp;N
&amp;D</oddHeader>
  </headerFooter>
  <rowBreaks count="2" manualBreakCount="2">
    <brk id="53" max="16383" man="1"/>
    <brk id="9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zoomScale="130" zoomScaleNormal="130" workbookViewId="0">
      <selection activeCell="A2" sqref="A2"/>
    </sheetView>
  </sheetViews>
  <sheetFormatPr defaultColWidth="8.85546875" defaultRowHeight="12" x14ac:dyDescent="0.2"/>
  <cols>
    <col min="1" max="1" width="8.85546875" style="90"/>
    <col min="2" max="2" width="23.7109375" style="90" customWidth="1"/>
    <col min="3" max="3" width="13.85546875" style="90" customWidth="1"/>
    <col min="4" max="4" width="10.7109375" style="90" customWidth="1"/>
    <col min="5" max="5" width="8.85546875" style="90"/>
    <col min="6" max="6" width="11.7109375" style="90" customWidth="1"/>
    <col min="7" max="16384" width="8.85546875" style="90"/>
  </cols>
  <sheetData>
    <row r="1" spans="1:4" x14ac:dyDescent="0.2">
      <c r="A1" s="88" t="s">
        <v>11</v>
      </c>
      <c r="B1" s="88" t="s">
        <v>175</v>
      </c>
      <c r="C1" s="91" t="s">
        <v>228</v>
      </c>
      <c r="D1" s="94" t="s">
        <v>3</v>
      </c>
    </row>
    <row r="2" spans="1:4" x14ac:dyDescent="0.2">
      <c r="A2" s="36" t="s">
        <v>26</v>
      </c>
      <c r="B2" s="37">
        <v>132</v>
      </c>
      <c r="C2" s="90">
        <v>18</v>
      </c>
      <c r="D2" s="90">
        <f>SUM(B2:C2)</f>
        <v>150</v>
      </c>
    </row>
    <row r="4" spans="1:4" x14ac:dyDescent="0.2">
      <c r="A4" s="88" t="s">
        <v>11</v>
      </c>
      <c r="B4" s="88" t="s">
        <v>30</v>
      </c>
      <c r="C4" s="88" t="s">
        <v>232</v>
      </c>
      <c r="D4" s="91" t="s">
        <v>16</v>
      </c>
    </row>
    <row r="5" spans="1:4" x14ac:dyDescent="0.2">
      <c r="A5" s="36" t="s">
        <v>26</v>
      </c>
      <c r="B5" s="36" t="s">
        <v>285</v>
      </c>
      <c r="C5" s="37">
        <v>49</v>
      </c>
      <c r="D5" s="92">
        <f>C5/132</f>
        <v>0.37121212121212122</v>
      </c>
    </row>
    <row r="6" spans="1:4" x14ac:dyDescent="0.2">
      <c r="A6" s="36" t="s">
        <v>26</v>
      </c>
      <c r="B6" s="36" t="s">
        <v>286</v>
      </c>
      <c r="C6" s="37">
        <v>59</v>
      </c>
      <c r="D6" s="92">
        <f t="shared" ref="D6:D11" si="0">C6/132</f>
        <v>0.44696969696969696</v>
      </c>
    </row>
    <row r="7" spans="1:4" x14ac:dyDescent="0.2">
      <c r="A7" s="36" t="s">
        <v>26</v>
      </c>
      <c r="B7" s="36" t="s">
        <v>287</v>
      </c>
      <c r="C7" s="37">
        <v>4</v>
      </c>
      <c r="D7" s="92">
        <f t="shared" si="0"/>
        <v>3.0303030303030304E-2</v>
      </c>
    </row>
    <row r="8" spans="1:4" x14ac:dyDescent="0.2">
      <c r="A8" s="36" t="s">
        <v>26</v>
      </c>
      <c r="B8" s="36" t="s">
        <v>288</v>
      </c>
      <c r="C8" s="37">
        <v>9</v>
      </c>
      <c r="D8" s="92">
        <f t="shared" si="0"/>
        <v>6.8181818181818177E-2</v>
      </c>
    </row>
    <row r="9" spans="1:4" x14ac:dyDescent="0.2">
      <c r="A9" s="36" t="s">
        <v>26</v>
      </c>
      <c r="B9" s="36" t="s">
        <v>289</v>
      </c>
      <c r="C9" s="37">
        <v>1</v>
      </c>
      <c r="D9" s="92">
        <f t="shared" si="0"/>
        <v>7.575757575757576E-3</v>
      </c>
    </row>
    <row r="10" spans="1:4" x14ac:dyDescent="0.2">
      <c r="A10" s="36" t="s">
        <v>26</v>
      </c>
      <c r="B10" s="36" t="s">
        <v>290</v>
      </c>
      <c r="C10" s="37">
        <v>2</v>
      </c>
      <c r="D10" s="92">
        <f t="shared" si="0"/>
        <v>1.5151515151515152E-2</v>
      </c>
    </row>
    <row r="11" spans="1:4" x14ac:dyDescent="0.2">
      <c r="A11" s="36" t="s">
        <v>26</v>
      </c>
      <c r="B11" s="36" t="s">
        <v>291</v>
      </c>
      <c r="C11" s="37">
        <v>8</v>
      </c>
      <c r="D11" s="92">
        <f t="shared" si="0"/>
        <v>6.0606060606060608E-2</v>
      </c>
    </row>
    <row r="12" spans="1:4" x14ac:dyDescent="0.2">
      <c r="C12" s="90">
        <f>SUM(C5:C11)</f>
        <v>132</v>
      </c>
      <c r="D12" s="92">
        <f>SUM(D5:D11)</f>
        <v>0.99999999999999978</v>
      </c>
    </row>
    <row r="14" spans="1:4" x14ac:dyDescent="0.2">
      <c r="A14" s="38" t="s">
        <v>11</v>
      </c>
      <c r="B14" s="38" t="s">
        <v>36</v>
      </c>
      <c r="C14" s="38" t="s">
        <v>250</v>
      </c>
      <c r="D14" s="39" t="s">
        <v>16</v>
      </c>
    </row>
    <row r="15" spans="1:4" x14ac:dyDescent="0.2">
      <c r="A15" s="40" t="s">
        <v>26</v>
      </c>
      <c r="B15" s="40" t="s">
        <v>201</v>
      </c>
      <c r="C15" s="41">
        <v>121</v>
      </c>
      <c r="D15" s="92">
        <f t="shared" ref="D15:D17" si="1">C15/132</f>
        <v>0.91666666666666663</v>
      </c>
    </row>
    <row r="16" spans="1:4" x14ac:dyDescent="0.2">
      <c r="A16" s="40" t="s">
        <v>26</v>
      </c>
      <c r="B16" s="40" t="s">
        <v>41</v>
      </c>
      <c r="C16" s="41">
        <v>9</v>
      </c>
      <c r="D16" s="92">
        <f t="shared" si="1"/>
        <v>6.8181818181818177E-2</v>
      </c>
    </row>
    <row r="17" spans="1:4" x14ac:dyDescent="0.2">
      <c r="A17" s="40" t="s">
        <v>26</v>
      </c>
      <c r="B17" s="40" t="s">
        <v>40</v>
      </c>
      <c r="C17" s="41">
        <v>2</v>
      </c>
      <c r="D17" s="92">
        <f t="shared" si="1"/>
        <v>1.5151515151515152E-2</v>
      </c>
    </row>
    <row r="18" spans="1:4" x14ac:dyDescent="0.2">
      <c r="C18" s="90">
        <f>SUM(C15:C17)</f>
        <v>132</v>
      </c>
      <c r="D18" s="92">
        <f>SUM(D15:D17)</f>
        <v>1</v>
      </c>
    </row>
    <row r="20" spans="1:4" x14ac:dyDescent="0.2">
      <c r="A20" s="93" t="s">
        <v>11</v>
      </c>
      <c r="B20" s="93" t="s">
        <v>44</v>
      </c>
      <c r="C20" s="93" t="s">
        <v>37</v>
      </c>
      <c r="D20" s="94" t="s">
        <v>16</v>
      </c>
    </row>
    <row r="21" spans="1:4" x14ac:dyDescent="0.2">
      <c r="A21" s="43" t="s">
        <v>26</v>
      </c>
      <c r="B21" s="43" t="s">
        <v>45</v>
      </c>
      <c r="C21" s="44">
        <v>13</v>
      </c>
      <c r="D21" s="92">
        <f t="shared" ref="D21:D28" si="2">C21/132</f>
        <v>9.8484848484848481E-2</v>
      </c>
    </row>
    <row r="22" spans="1:4" x14ac:dyDescent="0.2">
      <c r="A22" s="43" t="s">
        <v>26</v>
      </c>
      <c r="B22" s="43" t="s">
        <v>46</v>
      </c>
      <c r="C22" s="44">
        <v>21</v>
      </c>
      <c r="D22" s="92">
        <f t="shared" si="2"/>
        <v>0.15909090909090909</v>
      </c>
    </row>
    <row r="23" spans="1:4" x14ac:dyDescent="0.2">
      <c r="A23" s="43" t="s">
        <v>26</v>
      </c>
      <c r="B23" s="43" t="s">
        <v>47</v>
      </c>
      <c r="C23" s="44">
        <v>55</v>
      </c>
      <c r="D23" s="92">
        <f t="shared" si="2"/>
        <v>0.41666666666666669</v>
      </c>
    </row>
    <row r="24" spans="1:4" x14ac:dyDescent="0.2">
      <c r="A24" s="43" t="s">
        <v>26</v>
      </c>
      <c r="B24" s="43" t="s">
        <v>48</v>
      </c>
      <c r="C24" s="44">
        <v>5</v>
      </c>
      <c r="D24" s="92">
        <f t="shared" si="2"/>
        <v>3.787878787878788E-2</v>
      </c>
    </row>
    <row r="25" spans="1:4" x14ac:dyDescent="0.2">
      <c r="A25" s="43" t="s">
        <v>26</v>
      </c>
      <c r="B25" s="43" t="s">
        <v>49</v>
      </c>
      <c r="C25" s="44">
        <v>7</v>
      </c>
      <c r="D25" s="92">
        <f t="shared" si="2"/>
        <v>5.3030303030303032E-2</v>
      </c>
    </row>
    <row r="26" spans="1:4" x14ac:dyDescent="0.2">
      <c r="A26" s="43" t="s">
        <v>26</v>
      </c>
      <c r="B26" s="43" t="s">
        <v>50</v>
      </c>
      <c r="C26" s="44">
        <v>1</v>
      </c>
      <c r="D26" s="92">
        <f t="shared" si="2"/>
        <v>7.575757575757576E-3</v>
      </c>
    </row>
    <row r="27" spans="1:4" x14ac:dyDescent="0.2">
      <c r="A27" s="43" t="s">
        <v>26</v>
      </c>
      <c r="B27" s="43" t="s">
        <v>51</v>
      </c>
      <c r="C27" s="44">
        <v>5</v>
      </c>
      <c r="D27" s="92">
        <f t="shared" si="2"/>
        <v>3.787878787878788E-2</v>
      </c>
    </row>
    <row r="28" spans="1:4" x14ac:dyDescent="0.2">
      <c r="A28" s="43" t="s">
        <v>26</v>
      </c>
      <c r="B28" s="43" t="s">
        <v>52</v>
      </c>
      <c r="C28" s="44">
        <v>25</v>
      </c>
      <c r="D28" s="92">
        <f t="shared" si="2"/>
        <v>0.18939393939393939</v>
      </c>
    </row>
    <row r="29" spans="1:4" x14ac:dyDescent="0.2">
      <c r="C29" s="90">
        <f>SUM(C21:C28)</f>
        <v>132</v>
      </c>
      <c r="D29" s="92">
        <f>SUM(D21:D28)</f>
        <v>1</v>
      </c>
    </row>
    <row r="31" spans="1:4" x14ac:dyDescent="0.2">
      <c r="A31" s="45" t="s">
        <v>11</v>
      </c>
      <c r="B31" s="45" t="s">
        <v>176</v>
      </c>
      <c r="C31" s="45" t="s">
        <v>37</v>
      </c>
      <c r="D31" s="5" t="s">
        <v>16</v>
      </c>
    </row>
    <row r="32" spans="1:4" x14ac:dyDescent="0.2">
      <c r="A32" s="46" t="s">
        <v>26</v>
      </c>
      <c r="B32" s="46" t="s">
        <v>54</v>
      </c>
      <c r="C32" s="47">
        <v>17</v>
      </c>
      <c r="D32" s="92">
        <f t="shared" ref="D32:D38" si="3">C32/132</f>
        <v>0.12878787878787878</v>
      </c>
    </row>
    <row r="33" spans="1:4" x14ac:dyDescent="0.2">
      <c r="A33" s="46" t="s">
        <v>26</v>
      </c>
      <c r="B33" s="46" t="s">
        <v>55</v>
      </c>
      <c r="C33" s="47">
        <v>6</v>
      </c>
      <c r="D33" s="92">
        <f t="shared" si="3"/>
        <v>4.5454545454545456E-2</v>
      </c>
    </row>
    <row r="34" spans="1:4" x14ac:dyDescent="0.2">
      <c r="A34" s="46" t="s">
        <v>26</v>
      </c>
      <c r="B34" s="46" t="s">
        <v>57</v>
      </c>
      <c r="C34" s="47">
        <v>43</v>
      </c>
      <c r="D34" s="92">
        <f t="shared" si="3"/>
        <v>0.32575757575757575</v>
      </c>
    </row>
    <row r="35" spans="1:4" x14ac:dyDescent="0.2">
      <c r="A35" s="46" t="s">
        <v>26</v>
      </c>
      <c r="B35" s="46" t="s">
        <v>33</v>
      </c>
      <c r="C35" s="47">
        <v>2</v>
      </c>
      <c r="D35" s="92">
        <f t="shared" si="3"/>
        <v>1.5151515151515152E-2</v>
      </c>
    </row>
    <row r="36" spans="1:4" x14ac:dyDescent="0.2">
      <c r="A36" s="46" t="s">
        <v>26</v>
      </c>
      <c r="B36" s="46" t="s">
        <v>53</v>
      </c>
      <c r="C36" s="47">
        <v>9</v>
      </c>
      <c r="D36" s="92">
        <f t="shared" si="3"/>
        <v>6.8181818181818177E-2</v>
      </c>
    </row>
    <row r="37" spans="1:4" x14ac:dyDescent="0.2">
      <c r="A37" s="46" t="s">
        <v>26</v>
      </c>
      <c r="B37" s="46" t="s">
        <v>56</v>
      </c>
      <c r="C37" s="47">
        <v>51</v>
      </c>
      <c r="D37" s="92">
        <f t="shared" si="3"/>
        <v>0.38636363636363635</v>
      </c>
    </row>
    <row r="38" spans="1:4" x14ac:dyDescent="0.2">
      <c r="A38" s="46" t="s">
        <v>26</v>
      </c>
      <c r="B38" s="46" t="s">
        <v>58</v>
      </c>
      <c r="C38" s="47">
        <v>4</v>
      </c>
      <c r="D38" s="92">
        <f t="shared" si="3"/>
        <v>3.0303030303030304E-2</v>
      </c>
    </row>
    <row r="39" spans="1:4" x14ac:dyDescent="0.2">
      <c r="C39" s="90">
        <f>SUM(C32:C38)</f>
        <v>132</v>
      </c>
      <c r="D39" s="92">
        <f>SUM(D32:D38)</f>
        <v>0.99999999999999989</v>
      </c>
    </row>
    <row r="41" spans="1:4" x14ac:dyDescent="0.2">
      <c r="A41" s="48" t="s">
        <v>11</v>
      </c>
      <c r="B41" s="48" t="s">
        <v>177</v>
      </c>
      <c r="C41" s="48" t="s">
        <v>37</v>
      </c>
      <c r="D41" s="5" t="s">
        <v>16</v>
      </c>
    </row>
    <row r="42" spans="1:4" x14ac:dyDescent="0.2">
      <c r="A42" s="49" t="s">
        <v>26</v>
      </c>
      <c r="B42" s="49" t="s">
        <v>178</v>
      </c>
      <c r="C42" s="50">
        <v>7</v>
      </c>
      <c r="D42" s="92">
        <f t="shared" ref="D42:D49" si="4">C42/132</f>
        <v>5.3030303030303032E-2</v>
      </c>
    </row>
    <row r="43" spans="1:4" x14ac:dyDescent="0.2">
      <c r="A43" s="49" t="s">
        <v>26</v>
      </c>
      <c r="B43" s="49" t="s">
        <v>179</v>
      </c>
      <c r="C43" s="50">
        <v>3</v>
      </c>
      <c r="D43" s="92">
        <f t="shared" si="4"/>
        <v>2.2727272727272728E-2</v>
      </c>
    </row>
    <row r="44" spans="1:4" x14ac:dyDescent="0.2">
      <c r="A44" s="49" t="s">
        <v>26</v>
      </c>
      <c r="B44" s="49" t="s">
        <v>180</v>
      </c>
      <c r="C44" s="50">
        <v>21</v>
      </c>
      <c r="D44" s="92">
        <f t="shared" si="4"/>
        <v>0.15909090909090909</v>
      </c>
    </row>
    <row r="45" spans="1:4" x14ac:dyDescent="0.2">
      <c r="A45" s="49" t="s">
        <v>26</v>
      </c>
      <c r="B45" s="49" t="s">
        <v>181</v>
      </c>
      <c r="C45" s="50">
        <v>7</v>
      </c>
      <c r="D45" s="92">
        <f t="shared" si="4"/>
        <v>5.3030303030303032E-2</v>
      </c>
    </row>
    <row r="46" spans="1:4" ht="24" x14ac:dyDescent="0.2">
      <c r="A46" s="49" t="s">
        <v>26</v>
      </c>
      <c r="B46" s="49" t="s">
        <v>214</v>
      </c>
      <c r="C46" s="50">
        <v>14</v>
      </c>
      <c r="D46" s="92">
        <f t="shared" si="4"/>
        <v>0.10606060606060606</v>
      </c>
    </row>
    <row r="47" spans="1:4" x14ac:dyDescent="0.2">
      <c r="A47" s="49" t="s">
        <v>26</v>
      </c>
      <c r="B47" s="49" t="s">
        <v>182</v>
      </c>
      <c r="C47" s="50">
        <v>36</v>
      </c>
      <c r="D47" s="92">
        <f t="shared" si="4"/>
        <v>0.27272727272727271</v>
      </c>
    </row>
    <row r="48" spans="1:4" x14ac:dyDescent="0.2">
      <c r="A48" s="49" t="s">
        <v>26</v>
      </c>
      <c r="B48" s="49" t="s">
        <v>215</v>
      </c>
      <c r="C48" s="50">
        <v>40</v>
      </c>
      <c r="D48" s="92">
        <f t="shared" si="4"/>
        <v>0.30303030303030304</v>
      </c>
    </row>
    <row r="49" spans="1:4" x14ac:dyDescent="0.2">
      <c r="A49" s="49" t="s">
        <v>26</v>
      </c>
      <c r="B49" s="49" t="s">
        <v>33</v>
      </c>
      <c r="C49" s="50">
        <v>4</v>
      </c>
      <c r="D49" s="92">
        <f t="shared" si="4"/>
        <v>3.0303030303030304E-2</v>
      </c>
    </row>
    <row r="50" spans="1:4" x14ac:dyDescent="0.2">
      <c r="C50" s="90">
        <f>SUM(C42:C49)</f>
        <v>132</v>
      </c>
      <c r="D50" s="92">
        <f>SUM(D42:D49)</f>
        <v>1</v>
      </c>
    </row>
    <row r="52" spans="1:4" x14ac:dyDescent="0.2">
      <c r="A52" s="34" t="s">
        <v>11</v>
      </c>
      <c r="B52" s="34" t="s">
        <v>183</v>
      </c>
      <c r="C52" s="34" t="s">
        <v>37</v>
      </c>
      <c r="D52" s="5" t="s">
        <v>16</v>
      </c>
    </row>
    <row r="53" spans="1:4" x14ac:dyDescent="0.2">
      <c r="A53" s="36" t="s">
        <v>26</v>
      </c>
      <c r="B53" s="36" t="s">
        <v>60</v>
      </c>
      <c r="C53" s="37">
        <v>64</v>
      </c>
      <c r="D53" s="92">
        <f t="shared" ref="D53" si="5">C53/132</f>
        <v>0.48484848484848486</v>
      </c>
    </row>
    <row r="56" spans="1:4" x14ac:dyDescent="0.2">
      <c r="A56" s="34" t="s">
        <v>11</v>
      </c>
      <c r="B56" s="34" t="s">
        <v>61</v>
      </c>
      <c r="C56" s="34" t="s">
        <v>37</v>
      </c>
      <c r="D56" s="5" t="s">
        <v>16</v>
      </c>
    </row>
    <row r="57" spans="1:4" x14ac:dyDescent="0.2">
      <c r="A57" s="36" t="s">
        <v>26</v>
      </c>
      <c r="B57" s="36" t="s">
        <v>216</v>
      </c>
      <c r="C57" s="37">
        <v>6</v>
      </c>
      <c r="D57" s="92">
        <f t="shared" ref="D57:D64" si="6">C57/132</f>
        <v>4.5454545454545456E-2</v>
      </c>
    </row>
    <row r="58" spans="1:4" x14ac:dyDescent="0.2">
      <c r="A58" s="36" t="s">
        <v>26</v>
      </c>
      <c r="B58" s="36" t="s">
        <v>184</v>
      </c>
      <c r="C58" s="37">
        <v>22</v>
      </c>
      <c r="D58" s="92">
        <f t="shared" si="6"/>
        <v>0.16666666666666666</v>
      </c>
    </row>
    <row r="59" spans="1:4" x14ac:dyDescent="0.2">
      <c r="A59" s="36" t="s">
        <v>26</v>
      </c>
      <c r="B59" s="36" t="s">
        <v>185</v>
      </c>
      <c r="C59" s="37">
        <v>5</v>
      </c>
      <c r="D59" s="92">
        <f t="shared" si="6"/>
        <v>3.787878787878788E-2</v>
      </c>
    </row>
    <row r="60" spans="1:4" x14ac:dyDescent="0.2">
      <c r="A60" s="36" t="s">
        <v>26</v>
      </c>
      <c r="B60" s="36" t="s">
        <v>217</v>
      </c>
      <c r="C60" s="37">
        <v>1</v>
      </c>
      <c r="D60" s="92">
        <f t="shared" si="6"/>
        <v>7.575757575757576E-3</v>
      </c>
    </row>
    <row r="61" spans="1:4" x14ac:dyDescent="0.2">
      <c r="A61" s="36" t="s">
        <v>26</v>
      </c>
      <c r="B61" s="36" t="s">
        <v>267</v>
      </c>
      <c r="C61" s="37">
        <v>1</v>
      </c>
      <c r="D61" s="92">
        <f t="shared" si="6"/>
        <v>7.575757575757576E-3</v>
      </c>
    </row>
    <row r="62" spans="1:4" x14ac:dyDescent="0.2">
      <c r="A62" s="36" t="s">
        <v>26</v>
      </c>
      <c r="B62" s="36" t="s">
        <v>233</v>
      </c>
      <c r="C62" s="37">
        <v>2</v>
      </c>
      <c r="D62" s="92">
        <f t="shared" si="6"/>
        <v>1.5151515151515152E-2</v>
      </c>
    </row>
    <row r="63" spans="1:4" x14ac:dyDescent="0.2">
      <c r="A63" s="36" t="s">
        <v>26</v>
      </c>
      <c r="B63" s="36" t="s">
        <v>292</v>
      </c>
      <c r="C63" s="37">
        <v>1</v>
      </c>
      <c r="D63" s="92">
        <f t="shared" si="6"/>
        <v>7.575757575757576E-3</v>
      </c>
    </row>
    <row r="64" spans="1:4" x14ac:dyDescent="0.2">
      <c r="A64" s="90" t="s">
        <v>26</v>
      </c>
      <c r="B64" s="90" t="s">
        <v>33</v>
      </c>
      <c r="C64" s="90">
        <v>30</v>
      </c>
      <c r="D64" s="92">
        <f t="shared" si="6"/>
        <v>0.22727272727272727</v>
      </c>
    </row>
    <row r="65" spans="1:4" x14ac:dyDescent="0.2">
      <c r="C65" s="90">
        <f>SUM(C57:C64)</f>
        <v>68</v>
      </c>
      <c r="D65" s="92">
        <f>SUM(D57:D64)</f>
        <v>0.51515151515151514</v>
      </c>
    </row>
    <row r="67" spans="1:4" x14ac:dyDescent="0.2">
      <c r="A67" s="12"/>
      <c r="B67" s="24" t="s">
        <v>63</v>
      </c>
      <c r="C67" s="12"/>
      <c r="D67" s="12"/>
    </row>
    <row r="68" spans="1:4" x14ac:dyDescent="0.2">
      <c r="A68" s="42" t="s">
        <v>11</v>
      </c>
      <c r="B68" s="42" t="s">
        <v>64</v>
      </c>
      <c r="C68" s="42" t="s">
        <v>186</v>
      </c>
      <c r="D68" s="5" t="s">
        <v>16</v>
      </c>
    </row>
    <row r="69" spans="1:4" ht="24" x14ac:dyDescent="0.2">
      <c r="A69" s="43" t="s">
        <v>26</v>
      </c>
      <c r="B69" s="43" t="s">
        <v>65</v>
      </c>
      <c r="C69" s="44">
        <v>39</v>
      </c>
      <c r="D69" s="6">
        <f>C69/133</f>
        <v>0.2932330827067669</v>
      </c>
    </row>
    <row r="70" spans="1:4" x14ac:dyDescent="0.2">
      <c r="A70" s="43" t="s">
        <v>26</v>
      </c>
      <c r="B70" s="43" t="s">
        <v>74</v>
      </c>
      <c r="C70" s="44">
        <v>8</v>
      </c>
      <c r="D70" s="6">
        <f t="shared" ref="D70:D80" si="7">C70/133</f>
        <v>6.0150375939849621E-2</v>
      </c>
    </row>
    <row r="71" spans="1:4" x14ac:dyDescent="0.2">
      <c r="A71" s="43" t="s">
        <v>26</v>
      </c>
      <c r="B71" s="43" t="s">
        <v>220</v>
      </c>
      <c r="C71" s="44">
        <v>3</v>
      </c>
      <c r="D71" s="6">
        <f t="shared" si="7"/>
        <v>2.2556390977443608E-2</v>
      </c>
    </row>
    <row r="72" spans="1:4" x14ac:dyDescent="0.2">
      <c r="A72" s="43" t="s">
        <v>26</v>
      </c>
      <c r="B72" s="43" t="s">
        <v>76</v>
      </c>
      <c r="C72" s="44">
        <v>8</v>
      </c>
      <c r="D72" s="6">
        <f t="shared" si="7"/>
        <v>6.0150375939849621E-2</v>
      </c>
    </row>
    <row r="73" spans="1:4" x14ac:dyDescent="0.2">
      <c r="A73" s="43" t="s">
        <v>26</v>
      </c>
      <c r="B73" s="43" t="s">
        <v>77</v>
      </c>
      <c r="C73" s="44">
        <v>3</v>
      </c>
      <c r="D73" s="6">
        <f t="shared" si="7"/>
        <v>2.2556390977443608E-2</v>
      </c>
    </row>
    <row r="74" spans="1:4" x14ac:dyDescent="0.2">
      <c r="A74" s="43" t="s">
        <v>26</v>
      </c>
      <c r="B74" s="43" t="s">
        <v>66</v>
      </c>
      <c r="C74" s="44">
        <v>7</v>
      </c>
      <c r="D74" s="6">
        <f t="shared" si="7"/>
        <v>5.2631578947368418E-2</v>
      </c>
    </row>
    <row r="75" spans="1:4" x14ac:dyDescent="0.2">
      <c r="A75" s="43" t="s">
        <v>26</v>
      </c>
      <c r="B75" s="43" t="s">
        <v>68</v>
      </c>
      <c r="C75" s="44">
        <v>24</v>
      </c>
      <c r="D75" s="6">
        <f t="shared" si="7"/>
        <v>0.18045112781954886</v>
      </c>
    </row>
    <row r="76" spans="1:4" x14ac:dyDescent="0.2">
      <c r="A76" s="43" t="s">
        <v>26</v>
      </c>
      <c r="B76" s="43" t="s">
        <v>69</v>
      </c>
      <c r="C76" s="44">
        <v>2</v>
      </c>
      <c r="D76" s="6">
        <f t="shared" si="7"/>
        <v>1.5037593984962405E-2</v>
      </c>
    </row>
    <row r="77" spans="1:4" x14ac:dyDescent="0.2">
      <c r="A77" s="43" t="s">
        <v>26</v>
      </c>
      <c r="B77" s="43" t="s">
        <v>70</v>
      </c>
      <c r="C77" s="44">
        <v>7</v>
      </c>
      <c r="D77" s="6">
        <f t="shared" si="7"/>
        <v>5.2631578947368418E-2</v>
      </c>
    </row>
    <row r="78" spans="1:4" x14ac:dyDescent="0.2">
      <c r="A78" s="43" t="s">
        <v>26</v>
      </c>
      <c r="B78" s="43" t="s">
        <v>71</v>
      </c>
      <c r="C78" s="44">
        <v>19</v>
      </c>
      <c r="D78" s="6">
        <f t="shared" si="7"/>
        <v>0.14285714285714285</v>
      </c>
    </row>
    <row r="79" spans="1:4" x14ac:dyDescent="0.2">
      <c r="A79" s="43" t="s">
        <v>26</v>
      </c>
      <c r="B79" s="43" t="s">
        <v>72</v>
      </c>
      <c r="C79" s="44">
        <v>11</v>
      </c>
      <c r="D79" s="6">
        <f t="shared" si="7"/>
        <v>8.2706766917293228E-2</v>
      </c>
    </row>
    <row r="80" spans="1:4" x14ac:dyDescent="0.2">
      <c r="A80" s="43" t="s">
        <v>26</v>
      </c>
      <c r="B80" s="43" t="s">
        <v>73</v>
      </c>
      <c r="C80" s="44">
        <v>2</v>
      </c>
      <c r="D80" s="6">
        <f t="shared" si="7"/>
        <v>1.5037593984962405E-2</v>
      </c>
    </row>
    <row r="81" spans="1:4" x14ac:dyDescent="0.2">
      <c r="C81" s="90">
        <f>SUM(C69:C80)</f>
        <v>133</v>
      </c>
      <c r="D81" s="92">
        <f>SUM(D69:D80)</f>
        <v>0.99999999999999989</v>
      </c>
    </row>
    <row r="83" spans="1:4" ht="24" customHeight="1" x14ac:dyDescent="0.2">
      <c r="B83" s="24" t="s">
        <v>63</v>
      </c>
    </row>
    <row r="84" spans="1:4" x14ac:dyDescent="0.2">
      <c r="A84" s="95" t="s">
        <v>11</v>
      </c>
      <c r="B84" s="95" t="s">
        <v>187</v>
      </c>
      <c r="C84" s="95" t="s">
        <v>37</v>
      </c>
      <c r="D84" s="94" t="s">
        <v>16</v>
      </c>
    </row>
    <row r="85" spans="1:4" x14ac:dyDescent="0.2">
      <c r="A85" s="46" t="s">
        <v>26</v>
      </c>
      <c r="B85" s="46" t="s">
        <v>174</v>
      </c>
      <c r="C85" s="47">
        <v>44</v>
      </c>
      <c r="D85" s="92">
        <f>C85/170</f>
        <v>0.25882352941176473</v>
      </c>
    </row>
    <row r="86" spans="1:4" x14ac:dyDescent="0.2">
      <c r="A86" s="46" t="s">
        <v>26</v>
      </c>
      <c r="B86" s="46" t="s">
        <v>81</v>
      </c>
      <c r="C86" s="47">
        <v>44</v>
      </c>
      <c r="D86" s="92">
        <f t="shared" ref="D86:D89" si="8">C86/170</f>
        <v>0.25882352941176473</v>
      </c>
    </row>
    <row r="87" spans="1:4" x14ac:dyDescent="0.2">
      <c r="A87" s="46" t="s">
        <v>26</v>
      </c>
      <c r="B87" s="46" t="s">
        <v>82</v>
      </c>
      <c r="C87" s="47">
        <v>40</v>
      </c>
      <c r="D87" s="92">
        <f t="shared" si="8"/>
        <v>0.23529411764705882</v>
      </c>
    </row>
    <row r="88" spans="1:4" x14ac:dyDescent="0.2">
      <c r="A88" s="46" t="s">
        <v>26</v>
      </c>
      <c r="B88" s="46" t="s">
        <v>83</v>
      </c>
      <c r="C88" s="47">
        <v>19</v>
      </c>
      <c r="D88" s="92">
        <f t="shared" si="8"/>
        <v>0.11176470588235295</v>
      </c>
    </row>
    <row r="89" spans="1:4" x14ac:dyDescent="0.2">
      <c r="A89" s="46" t="s">
        <v>26</v>
      </c>
      <c r="B89" s="46" t="s">
        <v>84</v>
      </c>
      <c r="C89" s="47">
        <v>23</v>
      </c>
      <c r="D89" s="92">
        <f t="shared" si="8"/>
        <v>0.13529411764705881</v>
      </c>
    </row>
    <row r="90" spans="1:4" x14ac:dyDescent="0.2">
      <c r="C90" s="90">
        <f>SUM(C85:C89)</f>
        <v>170</v>
      </c>
      <c r="D90" s="92">
        <f>SUM(D85:D89)</f>
        <v>1</v>
      </c>
    </row>
    <row r="92" spans="1:4" ht="31.15" customHeight="1" x14ac:dyDescent="0.2">
      <c r="B92" s="24" t="s">
        <v>63</v>
      </c>
    </row>
    <row r="93" spans="1:4" x14ac:dyDescent="0.2">
      <c r="A93" s="96" t="s">
        <v>11</v>
      </c>
      <c r="B93" s="96" t="s">
        <v>87</v>
      </c>
      <c r="C93" s="96" t="s">
        <v>37</v>
      </c>
      <c r="D93" s="94" t="s">
        <v>16</v>
      </c>
    </row>
    <row r="94" spans="1:4" x14ac:dyDescent="0.2">
      <c r="A94" s="49" t="s">
        <v>26</v>
      </c>
      <c r="B94" s="49" t="s">
        <v>88</v>
      </c>
      <c r="C94" s="50">
        <v>20</v>
      </c>
      <c r="D94" s="92">
        <f>C94/71</f>
        <v>0.28169014084507044</v>
      </c>
    </row>
    <row r="95" spans="1:4" x14ac:dyDescent="0.2">
      <c r="A95" s="49" t="s">
        <v>26</v>
      </c>
      <c r="B95" s="49" t="s">
        <v>89</v>
      </c>
      <c r="C95" s="50">
        <v>3</v>
      </c>
      <c r="D95" s="92">
        <f t="shared" ref="D95:D100" si="9">C95/71</f>
        <v>4.2253521126760563E-2</v>
      </c>
    </row>
    <row r="96" spans="1:4" ht="24" x14ac:dyDescent="0.2">
      <c r="A96" s="49" t="s">
        <v>26</v>
      </c>
      <c r="B96" s="49" t="s">
        <v>90</v>
      </c>
      <c r="C96" s="50">
        <v>13</v>
      </c>
      <c r="D96" s="92">
        <f t="shared" si="9"/>
        <v>0.18309859154929578</v>
      </c>
    </row>
    <row r="97" spans="1:4" x14ac:dyDescent="0.2">
      <c r="A97" s="49" t="s">
        <v>26</v>
      </c>
      <c r="B97" s="49" t="s">
        <v>91</v>
      </c>
      <c r="C97" s="50">
        <v>17</v>
      </c>
      <c r="D97" s="92">
        <f t="shared" si="9"/>
        <v>0.23943661971830985</v>
      </c>
    </row>
    <row r="98" spans="1:4" ht="24" x14ac:dyDescent="0.2">
      <c r="A98" s="49" t="s">
        <v>26</v>
      </c>
      <c r="B98" s="49" t="s">
        <v>92</v>
      </c>
      <c r="C98" s="50">
        <v>8</v>
      </c>
      <c r="D98" s="92">
        <f t="shared" si="9"/>
        <v>0.11267605633802817</v>
      </c>
    </row>
    <row r="99" spans="1:4" x14ac:dyDescent="0.2">
      <c r="A99" s="49" t="s">
        <v>26</v>
      </c>
      <c r="B99" s="49" t="s">
        <v>93</v>
      </c>
      <c r="C99" s="50">
        <v>9</v>
      </c>
      <c r="D99" s="92">
        <f t="shared" si="9"/>
        <v>0.12676056338028169</v>
      </c>
    </row>
    <row r="100" spans="1:4" x14ac:dyDescent="0.2">
      <c r="A100" s="49" t="s">
        <v>26</v>
      </c>
      <c r="B100" s="49" t="s">
        <v>95</v>
      </c>
      <c r="C100" s="50">
        <v>1</v>
      </c>
      <c r="D100" s="92">
        <f t="shared" si="9"/>
        <v>1.4084507042253521E-2</v>
      </c>
    </row>
    <row r="101" spans="1:4" x14ac:dyDescent="0.2">
      <c r="C101" s="90">
        <f>SUM(C94:C100)</f>
        <v>71</v>
      </c>
      <c r="D101" s="92">
        <f>SUM(D94:D100)</f>
        <v>1</v>
      </c>
    </row>
    <row r="103" spans="1:4" ht="27" customHeight="1" x14ac:dyDescent="0.2">
      <c r="B103" s="24" t="s">
        <v>63</v>
      </c>
    </row>
    <row r="104" spans="1:4" x14ac:dyDescent="0.2">
      <c r="A104" s="97" t="s">
        <v>11</v>
      </c>
      <c r="B104" s="97" t="s">
        <v>188</v>
      </c>
      <c r="C104" s="97" t="s">
        <v>37</v>
      </c>
      <c r="D104" s="94" t="s">
        <v>16</v>
      </c>
    </row>
    <row r="105" spans="1:4" ht="24" x14ac:dyDescent="0.2">
      <c r="A105" s="52" t="s">
        <v>26</v>
      </c>
      <c r="B105" s="52" t="s">
        <v>98</v>
      </c>
      <c r="C105" s="53">
        <v>44</v>
      </c>
      <c r="D105" s="92">
        <f>C105/139</f>
        <v>0.31654676258992803</v>
      </c>
    </row>
    <row r="106" spans="1:4" x14ac:dyDescent="0.2">
      <c r="A106" s="52" t="s">
        <v>26</v>
      </c>
      <c r="B106" s="52" t="s">
        <v>99</v>
      </c>
      <c r="C106" s="53">
        <v>24</v>
      </c>
      <c r="D106" s="92">
        <f t="shared" ref="D106:D112" si="10">C106/139</f>
        <v>0.17266187050359713</v>
      </c>
    </row>
    <row r="107" spans="1:4" x14ac:dyDescent="0.2">
      <c r="A107" s="52" t="s">
        <v>26</v>
      </c>
      <c r="B107" s="52" t="s">
        <v>100</v>
      </c>
      <c r="C107" s="53">
        <v>6</v>
      </c>
      <c r="D107" s="92">
        <f t="shared" si="10"/>
        <v>4.3165467625899283E-2</v>
      </c>
    </row>
    <row r="108" spans="1:4" x14ac:dyDescent="0.2">
      <c r="A108" s="52" t="s">
        <v>26</v>
      </c>
      <c r="B108" s="52" t="s">
        <v>101</v>
      </c>
      <c r="C108" s="53">
        <v>5</v>
      </c>
      <c r="D108" s="92">
        <f t="shared" si="10"/>
        <v>3.5971223021582732E-2</v>
      </c>
    </row>
    <row r="109" spans="1:4" x14ac:dyDescent="0.2">
      <c r="A109" s="52" t="s">
        <v>26</v>
      </c>
      <c r="B109" s="52" t="s">
        <v>102</v>
      </c>
      <c r="C109" s="53">
        <v>19</v>
      </c>
      <c r="D109" s="92">
        <f t="shared" si="10"/>
        <v>0.1366906474820144</v>
      </c>
    </row>
    <row r="110" spans="1:4" x14ac:dyDescent="0.2">
      <c r="A110" s="52" t="s">
        <v>26</v>
      </c>
      <c r="B110" s="52" t="s">
        <v>103</v>
      </c>
      <c r="C110" s="53">
        <v>23</v>
      </c>
      <c r="D110" s="92">
        <f t="shared" si="10"/>
        <v>0.16546762589928057</v>
      </c>
    </row>
    <row r="111" spans="1:4" x14ac:dyDescent="0.2">
      <c r="A111" s="52" t="s">
        <v>26</v>
      </c>
      <c r="B111" s="52" t="s">
        <v>104</v>
      </c>
      <c r="C111" s="53">
        <v>17</v>
      </c>
      <c r="D111" s="92">
        <f t="shared" si="10"/>
        <v>0.1223021582733813</v>
      </c>
    </row>
    <row r="112" spans="1:4" x14ac:dyDescent="0.2">
      <c r="A112" s="52" t="s">
        <v>26</v>
      </c>
      <c r="B112" s="52" t="s">
        <v>105</v>
      </c>
      <c r="C112" s="53">
        <v>1</v>
      </c>
      <c r="D112" s="92">
        <f t="shared" si="10"/>
        <v>7.1942446043165471E-3</v>
      </c>
    </row>
    <row r="113" spans="1:5" x14ac:dyDescent="0.2">
      <c r="C113" s="90">
        <f>SUM(C105:C112)</f>
        <v>139</v>
      </c>
      <c r="D113" s="92">
        <f>SUM(D105:D112)</f>
        <v>0.99999999999999989</v>
      </c>
    </row>
    <row r="115" spans="1:5" ht="36" x14ac:dyDescent="0.2">
      <c r="A115" s="54" t="s">
        <v>11</v>
      </c>
      <c r="B115" s="54" t="s">
        <v>202</v>
      </c>
      <c r="C115" s="5" t="s">
        <v>203</v>
      </c>
      <c r="D115" s="94" t="s">
        <v>3</v>
      </c>
      <c r="E115" s="5" t="s">
        <v>10</v>
      </c>
    </row>
    <row r="116" spans="1:5" x14ac:dyDescent="0.2">
      <c r="A116" s="46" t="s">
        <v>26</v>
      </c>
      <c r="B116" s="47">
        <v>56</v>
      </c>
      <c r="C116" s="90">
        <v>6</v>
      </c>
      <c r="D116" s="90">
        <f>SUM(B116:C116)</f>
        <v>62</v>
      </c>
      <c r="E116" s="90">
        <v>2</v>
      </c>
    </row>
    <row r="119" spans="1:5" x14ac:dyDescent="0.2">
      <c r="A119" s="55" t="s">
        <v>11</v>
      </c>
      <c r="B119" s="55" t="s">
        <v>189</v>
      </c>
      <c r="C119" s="56" t="s">
        <v>37</v>
      </c>
      <c r="D119" s="5" t="s">
        <v>16</v>
      </c>
    </row>
    <row r="120" spans="1:5" x14ac:dyDescent="0.2">
      <c r="A120" s="57" t="s">
        <v>26</v>
      </c>
      <c r="B120" s="57" t="s">
        <v>60</v>
      </c>
      <c r="C120" s="58">
        <v>68</v>
      </c>
    </row>
    <row r="123" spans="1:5" ht="36" x14ac:dyDescent="0.2">
      <c r="A123" s="59" t="s">
        <v>11</v>
      </c>
      <c r="B123" s="59" t="s">
        <v>190</v>
      </c>
      <c r="C123" s="59" t="s">
        <v>37</v>
      </c>
      <c r="D123" s="5" t="s">
        <v>221</v>
      </c>
      <c r="E123" s="5" t="s">
        <v>3</v>
      </c>
    </row>
    <row r="124" spans="1:5" x14ac:dyDescent="0.2">
      <c r="A124" s="60" t="s">
        <v>26</v>
      </c>
      <c r="B124" s="60" t="s">
        <v>60</v>
      </c>
      <c r="C124" s="61">
        <v>23</v>
      </c>
      <c r="D124" s="90">
        <v>0</v>
      </c>
    </row>
    <row r="127" spans="1:5" x14ac:dyDescent="0.2">
      <c r="A127" s="62" t="s">
        <v>11</v>
      </c>
      <c r="B127" s="62" t="s">
        <v>191</v>
      </c>
      <c r="C127" s="62" t="s">
        <v>37</v>
      </c>
      <c r="D127" s="5" t="s">
        <v>16</v>
      </c>
    </row>
    <row r="128" spans="1:5" x14ac:dyDescent="0.2">
      <c r="A128" s="63" t="s">
        <v>26</v>
      </c>
      <c r="B128" s="63" t="s">
        <v>60</v>
      </c>
      <c r="C128" s="64">
        <v>34</v>
      </c>
      <c r="D128" s="92">
        <f t="shared" ref="D128" si="11">C128/132</f>
        <v>0.25757575757575757</v>
      </c>
    </row>
    <row r="130" spans="1:4" ht="24" x14ac:dyDescent="0.2">
      <c r="A130" s="98" t="s">
        <v>11</v>
      </c>
      <c r="B130" s="98" t="s">
        <v>222</v>
      </c>
      <c r="C130" s="98" t="s">
        <v>37</v>
      </c>
      <c r="D130" s="5" t="s">
        <v>223</v>
      </c>
    </row>
    <row r="131" spans="1:4" x14ac:dyDescent="0.2">
      <c r="A131" s="99" t="s">
        <v>26</v>
      </c>
      <c r="B131" s="99" t="s">
        <v>60</v>
      </c>
      <c r="C131" s="100">
        <v>13</v>
      </c>
      <c r="D131" s="6">
        <f>C131/34</f>
        <v>0.38235294117647056</v>
      </c>
    </row>
    <row r="133" spans="1:4" x14ac:dyDescent="0.2">
      <c r="A133" s="65" t="s">
        <v>11</v>
      </c>
      <c r="B133" s="65" t="s">
        <v>192</v>
      </c>
      <c r="C133" s="65" t="s">
        <v>37</v>
      </c>
      <c r="D133" s="5" t="s">
        <v>16</v>
      </c>
    </row>
    <row r="134" spans="1:4" x14ac:dyDescent="0.2">
      <c r="A134" s="66" t="s">
        <v>26</v>
      </c>
      <c r="B134" s="66" t="s">
        <v>60</v>
      </c>
      <c r="C134" s="67">
        <v>23</v>
      </c>
      <c r="D134" s="92">
        <f t="shared" ref="D134" si="12">C134/132</f>
        <v>0.17424242424242425</v>
      </c>
    </row>
    <row r="136" spans="1:4" ht="24" x14ac:dyDescent="0.2">
      <c r="A136" s="65" t="s">
        <v>11</v>
      </c>
      <c r="B136" s="65" t="s">
        <v>224</v>
      </c>
      <c r="C136" s="65" t="s">
        <v>37</v>
      </c>
      <c r="D136" s="5" t="s">
        <v>225</v>
      </c>
    </row>
    <row r="137" spans="1:4" x14ac:dyDescent="0.2">
      <c r="A137" s="66" t="s">
        <v>26</v>
      </c>
      <c r="B137" s="66" t="s">
        <v>114</v>
      </c>
      <c r="C137" s="67">
        <v>5</v>
      </c>
      <c r="D137" s="6">
        <f>C137/23</f>
        <v>0.21739130434782608</v>
      </c>
    </row>
    <row r="138" spans="1:4" x14ac:dyDescent="0.2">
      <c r="A138" s="66" t="s">
        <v>26</v>
      </c>
      <c r="B138" s="66" t="s">
        <v>115</v>
      </c>
      <c r="C138" s="67">
        <v>18</v>
      </c>
      <c r="D138" s="6">
        <f>C138/23</f>
        <v>0.78260869565217395</v>
      </c>
    </row>
    <row r="139" spans="1:4" x14ac:dyDescent="0.2">
      <c r="C139" s="90">
        <f>SUM(C137:C138)</f>
        <v>23</v>
      </c>
      <c r="D139" s="92">
        <f>SUM(D137:D138)</f>
        <v>1</v>
      </c>
    </row>
    <row r="141" spans="1:4" x14ac:dyDescent="0.2">
      <c r="B141" s="104" t="s">
        <v>63</v>
      </c>
    </row>
    <row r="142" spans="1:4" x14ac:dyDescent="0.2">
      <c r="A142" s="68" t="s">
        <v>11</v>
      </c>
      <c r="B142" s="68" t="s">
        <v>193</v>
      </c>
      <c r="C142" s="68" t="s">
        <v>37</v>
      </c>
      <c r="D142" s="5" t="s">
        <v>16</v>
      </c>
    </row>
    <row r="143" spans="1:4" x14ac:dyDescent="0.2">
      <c r="A143" s="102" t="s">
        <v>26</v>
      </c>
      <c r="B143" s="102" t="s">
        <v>117</v>
      </c>
      <c r="C143" s="103">
        <v>23</v>
      </c>
      <c r="D143" s="92">
        <f>C143/76</f>
        <v>0.30263157894736842</v>
      </c>
    </row>
    <row r="144" spans="1:4" x14ac:dyDescent="0.2">
      <c r="A144" s="102" t="s">
        <v>26</v>
      </c>
      <c r="B144" s="102" t="s">
        <v>118</v>
      </c>
      <c r="C144" s="103">
        <v>19</v>
      </c>
      <c r="D144" s="92">
        <f t="shared" ref="D144:D149" si="13">C144/76</f>
        <v>0.25</v>
      </c>
    </row>
    <row r="145" spans="1:6" x14ac:dyDescent="0.2">
      <c r="A145" s="102" t="s">
        <v>26</v>
      </c>
      <c r="B145" s="102" t="s">
        <v>119</v>
      </c>
      <c r="C145" s="103">
        <v>22</v>
      </c>
      <c r="D145" s="92">
        <f t="shared" si="13"/>
        <v>0.28947368421052633</v>
      </c>
    </row>
    <row r="146" spans="1:6" x14ac:dyDescent="0.2">
      <c r="A146" s="102" t="s">
        <v>26</v>
      </c>
      <c r="B146" s="102" t="s">
        <v>120</v>
      </c>
      <c r="C146" s="103">
        <v>4</v>
      </c>
      <c r="D146" s="92">
        <f t="shared" si="13"/>
        <v>5.2631578947368418E-2</v>
      </c>
    </row>
    <row r="147" spans="1:6" x14ac:dyDescent="0.2">
      <c r="A147" s="102" t="s">
        <v>26</v>
      </c>
      <c r="B147" s="102" t="s">
        <v>121</v>
      </c>
      <c r="C147" s="103">
        <v>2</v>
      </c>
      <c r="D147" s="92">
        <f t="shared" si="13"/>
        <v>2.6315789473684209E-2</v>
      </c>
    </row>
    <row r="148" spans="1:6" x14ac:dyDescent="0.2">
      <c r="A148" s="102" t="s">
        <v>26</v>
      </c>
      <c r="B148" s="102" t="s">
        <v>122</v>
      </c>
      <c r="C148" s="103">
        <v>5</v>
      </c>
      <c r="D148" s="92">
        <f t="shared" si="13"/>
        <v>6.5789473684210523E-2</v>
      </c>
    </row>
    <row r="149" spans="1:6" x14ac:dyDescent="0.2">
      <c r="A149" s="102" t="s">
        <v>26</v>
      </c>
      <c r="B149" s="102" t="s">
        <v>123</v>
      </c>
      <c r="C149" s="103">
        <v>1</v>
      </c>
      <c r="D149" s="92">
        <f t="shared" si="13"/>
        <v>1.3157894736842105E-2</v>
      </c>
    </row>
    <row r="150" spans="1:6" x14ac:dyDescent="0.2">
      <c r="C150" s="90">
        <f>SUM(C143:C149)</f>
        <v>76</v>
      </c>
      <c r="D150" s="92">
        <f>SUM(D143:D149)</f>
        <v>0.99999999999999989</v>
      </c>
    </row>
    <row r="152" spans="1:6" ht="24" x14ac:dyDescent="0.2">
      <c r="A152" s="71" t="s">
        <v>11</v>
      </c>
      <c r="B152" s="71" t="s">
        <v>124</v>
      </c>
      <c r="C152" s="71" t="s">
        <v>175</v>
      </c>
      <c r="D152" s="71" t="s">
        <v>194</v>
      </c>
      <c r="E152" s="71" t="s">
        <v>3</v>
      </c>
      <c r="F152" s="71" t="s">
        <v>16</v>
      </c>
    </row>
    <row r="153" spans="1:6" s="115" customFormat="1" x14ac:dyDescent="0.2">
      <c r="A153" s="74" t="s">
        <v>26</v>
      </c>
      <c r="B153" s="72" t="s">
        <v>127</v>
      </c>
      <c r="C153" s="73">
        <v>0</v>
      </c>
      <c r="D153" s="73">
        <v>2</v>
      </c>
      <c r="E153" s="73">
        <f>SUM(C153:D153)</f>
        <v>2</v>
      </c>
      <c r="F153" s="114">
        <f>E153/150</f>
        <v>1.3333333333333334E-2</v>
      </c>
    </row>
    <row r="154" spans="1:6" x14ac:dyDescent="0.2">
      <c r="A154" s="76" t="s">
        <v>26</v>
      </c>
      <c r="B154" s="76" t="s">
        <v>128</v>
      </c>
      <c r="C154" s="77">
        <v>10</v>
      </c>
      <c r="D154" s="90">
        <v>2</v>
      </c>
      <c r="E154" s="73">
        <f t="shared" ref="E154:E160" si="14">SUM(C154:D154)</f>
        <v>12</v>
      </c>
      <c r="F154" s="114">
        <f t="shared" ref="F154:F160" si="15">E154/150</f>
        <v>0.08</v>
      </c>
    </row>
    <row r="155" spans="1:6" x14ac:dyDescent="0.2">
      <c r="A155" s="76" t="s">
        <v>26</v>
      </c>
      <c r="B155" s="76" t="s">
        <v>129</v>
      </c>
      <c r="C155" s="77">
        <v>15</v>
      </c>
      <c r="D155" s="90">
        <v>5</v>
      </c>
      <c r="E155" s="73">
        <f t="shared" si="14"/>
        <v>20</v>
      </c>
      <c r="F155" s="114">
        <f t="shared" si="15"/>
        <v>0.13333333333333333</v>
      </c>
    </row>
    <row r="156" spans="1:6" x14ac:dyDescent="0.2">
      <c r="A156" s="76" t="s">
        <v>26</v>
      </c>
      <c r="B156" s="76" t="s">
        <v>130</v>
      </c>
      <c r="C156" s="77">
        <v>27</v>
      </c>
      <c r="D156" s="90">
        <v>4</v>
      </c>
      <c r="E156" s="73">
        <f t="shared" si="14"/>
        <v>31</v>
      </c>
      <c r="F156" s="114">
        <f t="shared" si="15"/>
        <v>0.20666666666666667</v>
      </c>
    </row>
    <row r="157" spans="1:6" x14ac:dyDescent="0.2">
      <c r="A157" s="76" t="s">
        <v>26</v>
      </c>
      <c r="B157" s="76" t="s">
        <v>131</v>
      </c>
      <c r="C157" s="77">
        <v>41</v>
      </c>
      <c r="D157" s="90">
        <v>4</v>
      </c>
      <c r="E157" s="73">
        <f t="shared" si="14"/>
        <v>45</v>
      </c>
      <c r="F157" s="114">
        <f t="shared" si="15"/>
        <v>0.3</v>
      </c>
    </row>
    <row r="158" spans="1:6" x14ac:dyDescent="0.2">
      <c r="A158" s="76" t="s">
        <v>26</v>
      </c>
      <c r="B158" s="76" t="s">
        <v>132</v>
      </c>
      <c r="C158" s="77">
        <v>20</v>
      </c>
      <c r="D158" s="90">
        <v>1</v>
      </c>
      <c r="E158" s="73">
        <f t="shared" si="14"/>
        <v>21</v>
      </c>
      <c r="F158" s="114">
        <f t="shared" si="15"/>
        <v>0.14000000000000001</v>
      </c>
    </row>
    <row r="159" spans="1:6" x14ac:dyDescent="0.2">
      <c r="A159" s="76" t="s">
        <v>26</v>
      </c>
      <c r="B159" s="76" t="s">
        <v>133</v>
      </c>
      <c r="C159" s="77">
        <v>16</v>
      </c>
      <c r="D159" s="90">
        <v>0</v>
      </c>
      <c r="E159" s="73">
        <f t="shared" si="14"/>
        <v>16</v>
      </c>
      <c r="F159" s="114">
        <f t="shared" si="15"/>
        <v>0.10666666666666667</v>
      </c>
    </row>
    <row r="160" spans="1:6" x14ac:dyDescent="0.2">
      <c r="A160" s="76" t="s">
        <v>26</v>
      </c>
      <c r="B160" s="76" t="s">
        <v>134</v>
      </c>
      <c r="C160" s="77">
        <v>3</v>
      </c>
      <c r="D160" s="90">
        <v>0</v>
      </c>
      <c r="E160" s="73">
        <f t="shared" si="14"/>
        <v>3</v>
      </c>
      <c r="F160" s="114">
        <f t="shared" si="15"/>
        <v>0.02</v>
      </c>
    </row>
    <row r="161" spans="1:6" x14ac:dyDescent="0.2">
      <c r="C161" s="90">
        <f>SUM(C153:C160)</f>
        <v>132</v>
      </c>
      <c r="D161" s="90">
        <f>SUM(D153:D160)</f>
        <v>18</v>
      </c>
      <c r="E161" s="90">
        <f>SUM(E153:E160)</f>
        <v>150</v>
      </c>
      <c r="F161" s="92">
        <f>SUM(F153:F160)</f>
        <v>1</v>
      </c>
    </row>
    <row r="163" spans="1:6" ht="24" x14ac:dyDescent="0.2">
      <c r="A163" s="78" t="s">
        <v>11</v>
      </c>
      <c r="B163" s="78" t="s">
        <v>135</v>
      </c>
      <c r="C163" s="78" t="s">
        <v>196</v>
      </c>
      <c r="D163" s="78" t="s">
        <v>197</v>
      </c>
      <c r="E163" s="78" t="s">
        <v>3</v>
      </c>
      <c r="F163" s="78" t="s">
        <v>16</v>
      </c>
    </row>
    <row r="164" spans="1:6" x14ac:dyDescent="0.2">
      <c r="A164" s="79" t="s">
        <v>26</v>
      </c>
      <c r="B164" s="79" t="s">
        <v>137</v>
      </c>
      <c r="C164" s="80">
        <v>96</v>
      </c>
      <c r="D164" s="90">
        <v>13</v>
      </c>
      <c r="E164" s="90">
        <f>SUM(C164:D164)</f>
        <v>109</v>
      </c>
      <c r="F164" s="114">
        <f t="shared" ref="F164:F168" si="16">E164/150</f>
        <v>0.72666666666666668</v>
      </c>
    </row>
    <row r="165" spans="1:6" x14ac:dyDescent="0.2">
      <c r="A165" s="79" t="s">
        <v>26</v>
      </c>
      <c r="B165" s="79" t="s">
        <v>138</v>
      </c>
      <c r="C165" s="80">
        <v>9</v>
      </c>
      <c r="D165" s="90">
        <v>0</v>
      </c>
      <c r="E165" s="90">
        <f t="shared" ref="E165:E168" si="17">SUM(C165:D165)</f>
        <v>9</v>
      </c>
      <c r="F165" s="114">
        <f t="shared" si="16"/>
        <v>0.06</v>
      </c>
    </row>
    <row r="166" spans="1:6" x14ac:dyDescent="0.2">
      <c r="A166" s="79" t="s">
        <v>26</v>
      </c>
      <c r="B166" s="79" t="s">
        <v>140</v>
      </c>
      <c r="C166" s="80">
        <v>21</v>
      </c>
      <c r="D166" s="90">
        <v>4</v>
      </c>
      <c r="E166" s="90">
        <f t="shared" si="17"/>
        <v>25</v>
      </c>
      <c r="F166" s="114">
        <f t="shared" si="16"/>
        <v>0.16666666666666666</v>
      </c>
    </row>
    <row r="167" spans="1:6" x14ac:dyDescent="0.2">
      <c r="A167" s="79" t="s">
        <v>26</v>
      </c>
      <c r="B167" s="79" t="s">
        <v>141</v>
      </c>
      <c r="C167" s="80">
        <v>1</v>
      </c>
      <c r="D167" s="90">
        <v>0</v>
      </c>
      <c r="E167" s="90">
        <f t="shared" si="17"/>
        <v>1</v>
      </c>
      <c r="F167" s="114">
        <f t="shared" si="16"/>
        <v>6.6666666666666671E-3</v>
      </c>
    </row>
    <row r="168" spans="1:6" x14ac:dyDescent="0.2">
      <c r="A168" s="79" t="s">
        <v>26</v>
      </c>
      <c r="B168" s="79" t="s">
        <v>142</v>
      </c>
      <c r="C168" s="80">
        <v>5</v>
      </c>
      <c r="D168" s="90">
        <v>1</v>
      </c>
      <c r="E168" s="90">
        <f t="shared" si="17"/>
        <v>6</v>
      </c>
      <c r="F168" s="114">
        <f t="shared" si="16"/>
        <v>0.04</v>
      </c>
    </row>
    <row r="169" spans="1:6" x14ac:dyDescent="0.2">
      <c r="C169" s="90">
        <f>SUM(C164:C168)</f>
        <v>132</v>
      </c>
      <c r="D169" s="90">
        <f>SUM(D164:D168)</f>
        <v>18</v>
      </c>
      <c r="E169" s="90">
        <f>SUM(E164:E168)</f>
        <v>150</v>
      </c>
      <c r="F169" s="92">
        <f>SUM(F164:F168)</f>
        <v>1</v>
      </c>
    </row>
    <row r="171" spans="1:6" ht="24" x14ac:dyDescent="0.2">
      <c r="A171" s="78" t="s">
        <v>11</v>
      </c>
      <c r="B171" s="78" t="s">
        <v>198</v>
      </c>
      <c r="C171" s="78" t="s">
        <v>196</v>
      </c>
      <c r="D171" s="78" t="s">
        <v>197</v>
      </c>
      <c r="E171" s="78" t="s">
        <v>3</v>
      </c>
      <c r="F171" s="78" t="s">
        <v>16</v>
      </c>
    </row>
    <row r="172" spans="1:6" x14ac:dyDescent="0.2">
      <c r="A172" s="107" t="s">
        <v>26</v>
      </c>
      <c r="B172" s="107" t="s">
        <v>60</v>
      </c>
      <c r="C172" s="108">
        <v>35</v>
      </c>
      <c r="D172" s="90">
        <v>1</v>
      </c>
      <c r="E172" s="90">
        <f>SUM(C172:D172)</f>
        <v>36</v>
      </c>
      <c r="F172" s="114">
        <f t="shared" ref="F172" si="18">E172/150</f>
        <v>0.24</v>
      </c>
    </row>
    <row r="175" spans="1:6" x14ac:dyDescent="0.2">
      <c r="A175" s="82" t="s">
        <v>11</v>
      </c>
      <c r="B175" s="82" t="s">
        <v>199</v>
      </c>
      <c r="C175" s="82" t="s">
        <v>200</v>
      </c>
      <c r="D175" s="5" t="s">
        <v>125</v>
      </c>
      <c r="E175" s="82" t="s">
        <v>3</v>
      </c>
      <c r="F175" s="82" t="s">
        <v>16</v>
      </c>
    </row>
    <row r="176" spans="1:6" x14ac:dyDescent="0.2">
      <c r="A176" s="83" t="s">
        <v>26</v>
      </c>
      <c r="B176" s="83" t="s">
        <v>145</v>
      </c>
      <c r="C176" s="84">
        <v>96</v>
      </c>
      <c r="D176" s="84">
        <v>11</v>
      </c>
      <c r="E176" s="84">
        <f>SUM(C176:D176)</f>
        <v>107</v>
      </c>
      <c r="F176" s="114">
        <f t="shared" ref="F176:F178" si="19">E176/150</f>
        <v>0.71333333333333337</v>
      </c>
    </row>
    <row r="177" spans="1:6" x14ac:dyDescent="0.2">
      <c r="A177" s="83" t="s">
        <v>26</v>
      </c>
      <c r="B177" s="83" t="s">
        <v>146</v>
      </c>
      <c r="C177" s="84">
        <v>35</v>
      </c>
      <c r="D177" s="84">
        <v>7</v>
      </c>
      <c r="E177" s="84">
        <f>SUM(C177:D177)</f>
        <v>42</v>
      </c>
      <c r="F177" s="114">
        <f t="shared" si="19"/>
        <v>0.28000000000000003</v>
      </c>
    </row>
    <row r="178" spans="1:6" x14ac:dyDescent="0.2">
      <c r="A178" s="83" t="s">
        <v>26</v>
      </c>
      <c r="B178" s="83" t="s">
        <v>148</v>
      </c>
      <c r="C178" s="84">
        <v>1</v>
      </c>
      <c r="D178" s="84">
        <v>0</v>
      </c>
      <c r="E178" s="84">
        <f>SUM(C178:D178)</f>
        <v>1</v>
      </c>
      <c r="F178" s="114">
        <f t="shared" si="19"/>
        <v>6.6666666666666671E-3</v>
      </c>
    </row>
    <row r="179" spans="1:6" x14ac:dyDescent="0.2">
      <c r="A179" s="83"/>
      <c r="B179" s="83"/>
      <c r="C179" s="84">
        <f>SUM(C176:C178)</f>
        <v>132</v>
      </c>
      <c r="D179" s="84">
        <f>SUM(D176:D178)</f>
        <v>18</v>
      </c>
      <c r="E179" s="84">
        <f>SUM(E176:E178)</f>
        <v>150</v>
      </c>
      <c r="F179" s="92">
        <f>SUM(F176:F178)</f>
        <v>1</v>
      </c>
    </row>
    <row r="181" spans="1:6" ht="24" x14ac:dyDescent="0.2">
      <c r="A181" s="85" t="s">
        <v>11</v>
      </c>
      <c r="B181" s="85" t="s">
        <v>205</v>
      </c>
      <c r="C181" s="85" t="s">
        <v>206</v>
      </c>
      <c r="D181" s="85" t="s">
        <v>207</v>
      </c>
      <c r="E181" s="5" t="s">
        <v>16</v>
      </c>
      <c r="F181" s="85" t="s">
        <v>208</v>
      </c>
    </row>
    <row r="182" spans="1:6" x14ac:dyDescent="0.2">
      <c r="A182" s="86" t="s">
        <v>26</v>
      </c>
      <c r="B182" s="86" t="s">
        <v>226</v>
      </c>
      <c r="C182" s="87">
        <v>3</v>
      </c>
      <c r="D182" s="87">
        <v>115</v>
      </c>
      <c r="E182" s="92">
        <f>D182/258</f>
        <v>0.44573643410852715</v>
      </c>
      <c r="F182" s="87">
        <v>115</v>
      </c>
    </row>
    <row r="183" spans="1:6" x14ac:dyDescent="0.2">
      <c r="A183" s="86" t="s">
        <v>26</v>
      </c>
      <c r="B183" s="86" t="s">
        <v>210</v>
      </c>
      <c r="C183" s="87">
        <v>4</v>
      </c>
      <c r="D183" s="87">
        <v>143</v>
      </c>
      <c r="E183" s="92">
        <f>D183/258</f>
        <v>0.55426356589147285</v>
      </c>
      <c r="F183" s="87">
        <v>143</v>
      </c>
    </row>
    <row r="184" spans="1:6" x14ac:dyDescent="0.2">
      <c r="C184" s="90">
        <f>SUM(C182:C183)</f>
        <v>7</v>
      </c>
      <c r="D184" s="90">
        <f>SUM(D182:D183)</f>
        <v>258</v>
      </c>
      <c r="E184" s="92">
        <f>SUM(E182:E183)</f>
        <v>1</v>
      </c>
      <c r="F184" s="90">
        <f>SUM(F182:F183)</f>
        <v>258</v>
      </c>
    </row>
    <row r="185" spans="1:6" x14ac:dyDescent="0.2">
      <c r="F185" s="92">
        <f>D184/F184</f>
        <v>1</v>
      </c>
    </row>
  </sheetData>
  <pageMargins left="0.7" right="0.7" top="0.75" bottom="0.75" header="0.3" footer="0.3"/>
  <pageSetup orientation="portrait" horizontalDpi="4294967293" verticalDpi="4294967293" r:id="rId1"/>
  <headerFooter>
    <oddHeader>&amp;LPinal County&amp;C&amp;"-,Bold"&amp;8AZ Balance of State
Continuum of Care
2018 Point In Time Data Report &amp;R&amp;"-,Bold"&amp;8&amp;P of &amp;N
&amp;D</oddHeader>
  </headerFooter>
  <rowBreaks count="3" manualBreakCount="3">
    <brk id="55" max="16383" man="1"/>
    <brk id="102" max="16383" man="1"/>
    <brk id="14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F16" sqref="F16"/>
    </sheetView>
  </sheetViews>
  <sheetFormatPr defaultColWidth="9.140625" defaultRowHeight="12" x14ac:dyDescent="0.2"/>
  <cols>
    <col min="1" max="1" width="23.28515625" style="90" customWidth="1"/>
    <col min="2" max="16384" width="9.140625" style="90"/>
  </cols>
  <sheetData>
    <row r="1" spans="1:6" ht="24" x14ac:dyDescent="0.2">
      <c r="A1" s="12" t="s">
        <v>149</v>
      </c>
    </row>
    <row r="5" spans="1:6" ht="24" x14ac:dyDescent="0.2">
      <c r="A5" s="3" t="s">
        <v>204</v>
      </c>
    </row>
    <row r="6" spans="1:6" ht="36" x14ac:dyDescent="0.2">
      <c r="A6" s="85" t="s">
        <v>11</v>
      </c>
      <c r="B6" s="85" t="s">
        <v>205</v>
      </c>
      <c r="C6" s="85" t="s">
        <v>206</v>
      </c>
      <c r="D6" s="85" t="s">
        <v>207</v>
      </c>
      <c r="E6" s="5" t="s">
        <v>16</v>
      </c>
      <c r="F6" s="85" t="s">
        <v>208</v>
      </c>
    </row>
    <row r="7" spans="1:6" x14ac:dyDescent="0.2">
      <c r="A7" s="86" t="s">
        <v>27</v>
      </c>
      <c r="B7" s="86" t="s">
        <v>226</v>
      </c>
      <c r="C7" s="87">
        <v>1</v>
      </c>
      <c r="D7" s="87">
        <v>8</v>
      </c>
      <c r="E7" s="92">
        <f>D7/22</f>
        <v>0.36363636363636365</v>
      </c>
      <c r="F7" s="87">
        <v>20</v>
      </c>
    </row>
    <row r="8" spans="1:6" x14ac:dyDescent="0.2">
      <c r="A8" s="86" t="s">
        <v>27</v>
      </c>
      <c r="B8" s="86" t="s">
        <v>209</v>
      </c>
      <c r="C8" s="87">
        <v>1</v>
      </c>
      <c r="D8" s="87">
        <v>14</v>
      </c>
      <c r="E8" s="92">
        <f>D8/22</f>
        <v>0.63636363636363635</v>
      </c>
      <c r="F8" s="87">
        <v>14</v>
      </c>
    </row>
    <row r="9" spans="1:6" x14ac:dyDescent="0.2">
      <c r="C9" s="90">
        <f>SUM(C7:C8)</f>
        <v>2</v>
      </c>
      <c r="D9" s="90">
        <f>SUM(D7:D8)</f>
        <v>22</v>
      </c>
      <c r="E9" s="92">
        <f>SUM(E7:E8)</f>
        <v>1</v>
      </c>
      <c r="F9" s="90">
        <f>SUM(F7:F8)</f>
        <v>34</v>
      </c>
    </row>
    <row r="10" spans="1:6" x14ac:dyDescent="0.2">
      <c r="F10" s="92">
        <f>D9/F9</f>
        <v>0.6470588235294118</v>
      </c>
    </row>
  </sheetData>
  <printOptions horizontalCentered="1"/>
  <pageMargins left="0.7" right="0.7" top="0.75" bottom="0.75" header="0.3" footer="0.3"/>
  <pageSetup orientation="portrait" horizontalDpi="4294967293" verticalDpi="4294967293" r:id="rId1"/>
  <headerFooter>
    <oddHeader>&amp;L&amp;"-,Bold"&amp;8Santa Cruz County&amp;C&amp;"-,Bold"&amp;8AZ Balance of State
Continuum of Care
2018 Point In Time Data Report &amp;R&amp;"-,Bold"&amp;8&amp;P of &amp;N
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opLeftCell="A13" zoomScaleNormal="100" workbookViewId="0">
      <selection activeCell="E13" sqref="E13"/>
    </sheetView>
  </sheetViews>
  <sheetFormatPr defaultRowHeight="12" x14ac:dyDescent="0.2"/>
  <cols>
    <col min="1" max="1" width="9.140625" style="90"/>
    <col min="2" max="2" width="25.42578125" style="90" customWidth="1"/>
    <col min="3" max="3" width="17.28515625" style="90" customWidth="1"/>
    <col min="4" max="4" width="12.85546875" style="90" customWidth="1"/>
    <col min="5" max="5" width="12.42578125" style="90" customWidth="1"/>
    <col min="6" max="16384" width="9.140625" style="90"/>
  </cols>
  <sheetData>
    <row r="1" spans="1:4" x14ac:dyDescent="0.2">
      <c r="A1" s="88" t="s">
        <v>11</v>
      </c>
      <c r="B1" s="88" t="s">
        <v>175</v>
      </c>
      <c r="C1" s="91" t="s">
        <v>228</v>
      </c>
      <c r="D1" s="94" t="s">
        <v>3</v>
      </c>
    </row>
    <row r="2" spans="1:4" x14ac:dyDescent="0.2">
      <c r="A2" s="36" t="s">
        <v>28</v>
      </c>
      <c r="B2" s="37">
        <v>115</v>
      </c>
      <c r="C2" s="90">
        <v>31</v>
      </c>
      <c r="D2" s="90">
        <f>SUM(B2:C2)</f>
        <v>146</v>
      </c>
    </row>
    <row r="4" spans="1:4" x14ac:dyDescent="0.2">
      <c r="A4" s="88" t="s">
        <v>11</v>
      </c>
      <c r="B4" s="88" t="s">
        <v>30</v>
      </c>
      <c r="C4" s="88" t="s">
        <v>232</v>
      </c>
      <c r="D4" s="91" t="s">
        <v>16</v>
      </c>
    </row>
    <row r="5" spans="1:4" x14ac:dyDescent="0.2">
      <c r="A5" s="36" t="s">
        <v>28</v>
      </c>
      <c r="B5" s="36" t="s">
        <v>293</v>
      </c>
      <c r="C5" s="37">
        <v>1</v>
      </c>
      <c r="D5" s="92">
        <f>C5/115</f>
        <v>8.6956521739130436E-3</v>
      </c>
    </row>
    <row r="6" spans="1:4" x14ac:dyDescent="0.2">
      <c r="A6" s="36" t="s">
        <v>28</v>
      </c>
      <c r="B6" s="36" t="s">
        <v>294</v>
      </c>
      <c r="C6" s="37">
        <v>6</v>
      </c>
      <c r="D6" s="92">
        <f t="shared" ref="D6:D11" si="0">C6/115</f>
        <v>5.2173913043478258E-2</v>
      </c>
    </row>
    <row r="7" spans="1:4" x14ac:dyDescent="0.2">
      <c r="A7" s="36" t="s">
        <v>28</v>
      </c>
      <c r="B7" s="36" t="s">
        <v>295</v>
      </c>
      <c r="C7" s="37">
        <v>1</v>
      </c>
      <c r="D7" s="92">
        <f t="shared" si="0"/>
        <v>8.6956521739130436E-3</v>
      </c>
    </row>
    <row r="8" spans="1:4" x14ac:dyDescent="0.2">
      <c r="A8" s="36" t="s">
        <v>28</v>
      </c>
      <c r="B8" s="36" t="s">
        <v>296</v>
      </c>
      <c r="C8" s="37">
        <v>43</v>
      </c>
      <c r="D8" s="92">
        <f t="shared" si="0"/>
        <v>0.37391304347826088</v>
      </c>
    </row>
    <row r="9" spans="1:4" x14ac:dyDescent="0.2">
      <c r="A9" s="36" t="s">
        <v>28</v>
      </c>
      <c r="B9" s="36" t="s">
        <v>297</v>
      </c>
      <c r="C9" s="37">
        <v>34</v>
      </c>
      <c r="D9" s="92">
        <f t="shared" si="0"/>
        <v>0.29565217391304349</v>
      </c>
    </row>
    <row r="10" spans="1:4" x14ac:dyDescent="0.2">
      <c r="A10" s="36" t="s">
        <v>28</v>
      </c>
      <c r="B10" s="36" t="s">
        <v>298</v>
      </c>
      <c r="C10" s="37">
        <v>28</v>
      </c>
      <c r="D10" s="92">
        <f t="shared" si="0"/>
        <v>0.24347826086956523</v>
      </c>
    </row>
    <row r="11" spans="1:4" x14ac:dyDescent="0.2">
      <c r="A11" s="36" t="s">
        <v>28</v>
      </c>
      <c r="B11" s="36" t="s">
        <v>299</v>
      </c>
      <c r="C11" s="37">
        <v>2</v>
      </c>
      <c r="D11" s="92">
        <f t="shared" si="0"/>
        <v>1.7391304347826087E-2</v>
      </c>
    </row>
    <row r="12" spans="1:4" x14ac:dyDescent="0.2">
      <c r="C12" s="90">
        <f>SUM(C5:C11)</f>
        <v>115</v>
      </c>
      <c r="D12" s="92">
        <f>SUM(D5:D11)</f>
        <v>1</v>
      </c>
    </row>
    <row r="14" spans="1:4" x14ac:dyDescent="0.2">
      <c r="A14" s="38" t="s">
        <v>11</v>
      </c>
      <c r="B14" s="38" t="s">
        <v>36</v>
      </c>
      <c r="C14" s="38" t="s">
        <v>250</v>
      </c>
      <c r="D14" s="39" t="s">
        <v>16</v>
      </c>
    </row>
    <row r="15" spans="1:4" x14ac:dyDescent="0.2">
      <c r="A15" s="40" t="s">
        <v>28</v>
      </c>
      <c r="B15" s="40" t="s">
        <v>201</v>
      </c>
      <c r="C15" s="41">
        <v>94</v>
      </c>
      <c r="D15" s="92">
        <f>C15/115</f>
        <v>0.81739130434782614</v>
      </c>
    </row>
    <row r="16" spans="1:4" x14ac:dyDescent="0.2">
      <c r="A16" s="40" t="s">
        <v>28</v>
      </c>
      <c r="B16" s="40" t="s">
        <v>39</v>
      </c>
      <c r="C16" s="41">
        <v>2</v>
      </c>
      <c r="D16" s="92">
        <f>C16/115</f>
        <v>1.7391304347826087E-2</v>
      </c>
    </row>
    <row r="17" spans="1:4" x14ac:dyDescent="0.2">
      <c r="A17" s="40" t="s">
        <v>28</v>
      </c>
      <c r="B17" s="40" t="s">
        <v>41</v>
      </c>
      <c r="C17" s="41">
        <v>16</v>
      </c>
      <c r="D17" s="92">
        <f>C17/115</f>
        <v>0.1391304347826087</v>
      </c>
    </row>
    <row r="18" spans="1:4" x14ac:dyDescent="0.2">
      <c r="A18" s="40" t="s">
        <v>28</v>
      </c>
      <c r="B18" s="40" t="s">
        <v>42</v>
      </c>
      <c r="C18" s="41">
        <v>3</v>
      </c>
      <c r="D18" s="92">
        <f>C18/115</f>
        <v>2.6086956521739129E-2</v>
      </c>
    </row>
    <row r="19" spans="1:4" x14ac:dyDescent="0.2">
      <c r="C19" s="90">
        <f>SUM(C15:C18)</f>
        <v>115</v>
      </c>
      <c r="D19" s="92">
        <f>SUM(D15:D18)</f>
        <v>1</v>
      </c>
    </row>
    <row r="21" spans="1:4" x14ac:dyDescent="0.2">
      <c r="A21" s="93" t="s">
        <v>11</v>
      </c>
      <c r="B21" s="93" t="s">
        <v>44</v>
      </c>
      <c r="C21" s="93" t="s">
        <v>37</v>
      </c>
      <c r="D21" s="94" t="s">
        <v>16</v>
      </c>
    </row>
    <row r="22" spans="1:4" x14ac:dyDescent="0.2">
      <c r="A22" s="43" t="s">
        <v>28</v>
      </c>
      <c r="B22" s="43" t="s">
        <v>45</v>
      </c>
      <c r="C22" s="44">
        <v>1</v>
      </c>
      <c r="D22" s="92">
        <f t="shared" ref="D22:D29" si="1">C22/115</f>
        <v>8.6956521739130436E-3</v>
      </c>
    </row>
    <row r="23" spans="1:4" x14ac:dyDescent="0.2">
      <c r="A23" s="43" t="s">
        <v>28</v>
      </c>
      <c r="B23" s="43" t="s">
        <v>46</v>
      </c>
      <c r="C23" s="44">
        <v>3</v>
      </c>
      <c r="D23" s="92">
        <f t="shared" si="1"/>
        <v>2.6086956521739129E-2</v>
      </c>
    </row>
    <row r="24" spans="1:4" x14ac:dyDescent="0.2">
      <c r="A24" s="43" t="s">
        <v>28</v>
      </c>
      <c r="B24" s="43" t="s">
        <v>47</v>
      </c>
      <c r="C24" s="44">
        <v>47</v>
      </c>
      <c r="D24" s="92">
        <f t="shared" si="1"/>
        <v>0.40869565217391307</v>
      </c>
    </row>
    <row r="25" spans="1:4" x14ac:dyDescent="0.2">
      <c r="A25" s="43" t="s">
        <v>28</v>
      </c>
      <c r="B25" s="43" t="s">
        <v>48</v>
      </c>
      <c r="C25" s="44">
        <v>3</v>
      </c>
      <c r="D25" s="92">
        <f t="shared" si="1"/>
        <v>2.6086956521739129E-2</v>
      </c>
    </row>
    <row r="26" spans="1:4" x14ac:dyDescent="0.2">
      <c r="A26" s="43" t="s">
        <v>28</v>
      </c>
      <c r="B26" s="43" t="s">
        <v>49</v>
      </c>
      <c r="C26" s="44">
        <v>3</v>
      </c>
      <c r="D26" s="92">
        <f t="shared" si="1"/>
        <v>2.6086956521739129E-2</v>
      </c>
    </row>
    <row r="27" spans="1:4" x14ac:dyDescent="0.2">
      <c r="A27" s="43" t="s">
        <v>28</v>
      </c>
      <c r="B27" s="43" t="s">
        <v>50</v>
      </c>
      <c r="C27" s="44">
        <v>1</v>
      </c>
      <c r="D27" s="92">
        <f t="shared" si="1"/>
        <v>8.6956521739130436E-3</v>
      </c>
    </row>
    <row r="28" spans="1:4" x14ac:dyDescent="0.2">
      <c r="A28" s="43" t="s">
        <v>28</v>
      </c>
      <c r="B28" s="43" t="s">
        <v>51</v>
      </c>
      <c r="C28" s="44">
        <v>19</v>
      </c>
      <c r="D28" s="92">
        <f t="shared" si="1"/>
        <v>0.16521739130434782</v>
      </c>
    </row>
    <row r="29" spans="1:4" x14ac:dyDescent="0.2">
      <c r="A29" s="43" t="s">
        <v>28</v>
      </c>
      <c r="B29" s="43" t="s">
        <v>52</v>
      </c>
      <c r="C29" s="44">
        <v>38</v>
      </c>
      <c r="D29" s="92">
        <f t="shared" si="1"/>
        <v>0.33043478260869563</v>
      </c>
    </row>
    <row r="30" spans="1:4" x14ac:dyDescent="0.2">
      <c r="C30" s="90">
        <f>SUM(C22:C29)</f>
        <v>115</v>
      </c>
      <c r="D30" s="92">
        <f>SUM(D22:D29)</f>
        <v>1</v>
      </c>
    </row>
    <row r="32" spans="1:4" x14ac:dyDescent="0.2">
      <c r="A32" s="45" t="s">
        <v>11</v>
      </c>
      <c r="B32" s="45" t="s">
        <v>176</v>
      </c>
      <c r="C32" s="45" t="s">
        <v>37</v>
      </c>
      <c r="D32" s="5" t="s">
        <v>16</v>
      </c>
    </row>
    <row r="33" spans="1:4" x14ac:dyDescent="0.2">
      <c r="A33" s="46" t="s">
        <v>28</v>
      </c>
      <c r="B33" s="46" t="s">
        <v>54</v>
      </c>
      <c r="C33" s="47">
        <v>20</v>
      </c>
      <c r="D33" s="92">
        <f t="shared" ref="D33:D39" si="2">C33/115</f>
        <v>0.17391304347826086</v>
      </c>
    </row>
    <row r="34" spans="1:4" x14ac:dyDescent="0.2">
      <c r="A34" s="46" t="s">
        <v>28</v>
      </c>
      <c r="B34" s="46" t="s">
        <v>55</v>
      </c>
      <c r="C34" s="47">
        <v>10</v>
      </c>
      <c r="D34" s="92">
        <f t="shared" si="2"/>
        <v>8.6956521739130432E-2</v>
      </c>
    </row>
    <row r="35" spans="1:4" x14ac:dyDescent="0.2">
      <c r="A35" s="46" t="s">
        <v>28</v>
      </c>
      <c r="B35" s="46" t="s">
        <v>57</v>
      </c>
      <c r="C35" s="47">
        <v>21</v>
      </c>
      <c r="D35" s="92">
        <f t="shared" si="2"/>
        <v>0.18260869565217391</v>
      </c>
    </row>
    <row r="36" spans="1:4" x14ac:dyDescent="0.2">
      <c r="A36" s="46" t="s">
        <v>28</v>
      </c>
      <c r="B36" s="46" t="s">
        <v>33</v>
      </c>
      <c r="C36" s="47">
        <v>1</v>
      </c>
      <c r="D36" s="92">
        <f t="shared" si="2"/>
        <v>8.6956521739130436E-3</v>
      </c>
    </row>
    <row r="37" spans="1:4" x14ac:dyDescent="0.2">
      <c r="A37" s="46" t="s">
        <v>28</v>
      </c>
      <c r="B37" s="46" t="s">
        <v>53</v>
      </c>
      <c r="C37" s="47">
        <v>8</v>
      </c>
      <c r="D37" s="92">
        <f t="shared" si="2"/>
        <v>6.9565217391304349E-2</v>
      </c>
    </row>
    <row r="38" spans="1:4" x14ac:dyDescent="0.2">
      <c r="A38" s="46" t="s">
        <v>28</v>
      </c>
      <c r="B38" s="46" t="s">
        <v>56</v>
      </c>
      <c r="C38" s="47">
        <v>53</v>
      </c>
      <c r="D38" s="92">
        <f t="shared" si="2"/>
        <v>0.46086956521739131</v>
      </c>
    </row>
    <row r="39" spans="1:4" x14ac:dyDescent="0.2">
      <c r="A39" s="46" t="s">
        <v>28</v>
      </c>
      <c r="B39" s="46" t="s">
        <v>58</v>
      </c>
      <c r="C39" s="47">
        <v>2</v>
      </c>
      <c r="D39" s="92">
        <f t="shared" si="2"/>
        <v>1.7391304347826087E-2</v>
      </c>
    </row>
    <row r="40" spans="1:4" x14ac:dyDescent="0.2">
      <c r="C40" s="90">
        <f>SUM(C33:C39)</f>
        <v>115</v>
      </c>
      <c r="D40" s="92">
        <f>SUM(D33:D39)</f>
        <v>1</v>
      </c>
    </row>
    <row r="42" spans="1:4" x14ac:dyDescent="0.2">
      <c r="A42" s="48" t="s">
        <v>11</v>
      </c>
      <c r="B42" s="48" t="s">
        <v>177</v>
      </c>
      <c r="C42" s="48" t="s">
        <v>37</v>
      </c>
      <c r="D42" s="5" t="s">
        <v>16</v>
      </c>
    </row>
    <row r="43" spans="1:4" x14ac:dyDescent="0.2">
      <c r="A43" s="49" t="s">
        <v>28</v>
      </c>
      <c r="B43" s="49" t="s">
        <v>178</v>
      </c>
      <c r="C43" s="50">
        <v>3</v>
      </c>
      <c r="D43" s="92">
        <f t="shared" ref="D43:D50" si="3">C43/115</f>
        <v>2.6086956521739129E-2</v>
      </c>
    </row>
    <row r="44" spans="1:4" x14ac:dyDescent="0.2">
      <c r="A44" s="49" t="s">
        <v>28</v>
      </c>
      <c r="B44" s="49" t="s">
        <v>179</v>
      </c>
      <c r="C44" s="50">
        <v>5</v>
      </c>
      <c r="D44" s="92">
        <f t="shared" si="3"/>
        <v>4.3478260869565216E-2</v>
      </c>
    </row>
    <row r="45" spans="1:4" x14ac:dyDescent="0.2">
      <c r="A45" s="49" t="s">
        <v>28</v>
      </c>
      <c r="B45" s="49" t="s">
        <v>180</v>
      </c>
      <c r="C45" s="50">
        <v>8</v>
      </c>
      <c r="D45" s="92">
        <f t="shared" si="3"/>
        <v>6.9565217391304349E-2</v>
      </c>
    </row>
    <row r="46" spans="1:4" x14ac:dyDescent="0.2">
      <c r="A46" s="49" t="s">
        <v>28</v>
      </c>
      <c r="B46" s="49" t="s">
        <v>181</v>
      </c>
      <c r="C46" s="50">
        <v>5</v>
      </c>
      <c r="D46" s="92">
        <f t="shared" si="3"/>
        <v>4.3478260869565216E-2</v>
      </c>
    </row>
    <row r="47" spans="1:4" ht="24" x14ac:dyDescent="0.2">
      <c r="A47" s="49" t="s">
        <v>28</v>
      </c>
      <c r="B47" s="49" t="s">
        <v>214</v>
      </c>
      <c r="C47" s="50">
        <v>16</v>
      </c>
      <c r="D47" s="92">
        <f t="shared" si="3"/>
        <v>0.1391304347826087</v>
      </c>
    </row>
    <row r="48" spans="1:4" x14ac:dyDescent="0.2">
      <c r="A48" s="49" t="s">
        <v>28</v>
      </c>
      <c r="B48" s="49" t="s">
        <v>182</v>
      </c>
      <c r="C48" s="50">
        <v>30</v>
      </c>
      <c r="D48" s="92">
        <f t="shared" si="3"/>
        <v>0.2608695652173913</v>
      </c>
    </row>
    <row r="49" spans="1:4" x14ac:dyDescent="0.2">
      <c r="A49" s="49" t="s">
        <v>28</v>
      </c>
      <c r="B49" s="49" t="s">
        <v>215</v>
      </c>
      <c r="C49" s="50">
        <v>46</v>
      </c>
      <c r="D49" s="92">
        <f t="shared" si="3"/>
        <v>0.4</v>
      </c>
    </row>
    <row r="50" spans="1:4" x14ac:dyDescent="0.2">
      <c r="A50" s="49" t="s">
        <v>28</v>
      </c>
      <c r="B50" s="49" t="s">
        <v>33</v>
      </c>
      <c r="C50" s="50">
        <v>2</v>
      </c>
      <c r="D50" s="92">
        <f t="shared" si="3"/>
        <v>1.7391304347826087E-2</v>
      </c>
    </row>
    <row r="51" spans="1:4" x14ac:dyDescent="0.2">
      <c r="C51" s="90">
        <f>SUM(C43:C50)</f>
        <v>115</v>
      </c>
      <c r="D51" s="92">
        <f>SUM(D43:D50)</f>
        <v>1</v>
      </c>
    </row>
    <row r="53" spans="1:4" x14ac:dyDescent="0.2">
      <c r="A53" s="34" t="s">
        <v>11</v>
      </c>
      <c r="B53" s="34" t="s">
        <v>183</v>
      </c>
      <c r="C53" s="34" t="s">
        <v>37</v>
      </c>
      <c r="D53" s="5" t="s">
        <v>16</v>
      </c>
    </row>
    <row r="54" spans="1:4" x14ac:dyDescent="0.2">
      <c r="A54" s="36" t="s">
        <v>28</v>
      </c>
      <c r="B54" s="36" t="s">
        <v>60</v>
      </c>
      <c r="C54" s="37">
        <v>48</v>
      </c>
      <c r="D54" s="92">
        <f t="shared" ref="D54" si="4">C54/115</f>
        <v>0.41739130434782606</v>
      </c>
    </row>
    <row r="57" spans="1:4" x14ac:dyDescent="0.2">
      <c r="A57" s="34" t="s">
        <v>11</v>
      </c>
      <c r="B57" s="34" t="s">
        <v>61</v>
      </c>
      <c r="C57" s="34" t="s">
        <v>37</v>
      </c>
      <c r="D57" s="5" t="s">
        <v>16</v>
      </c>
    </row>
    <row r="58" spans="1:4" x14ac:dyDescent="0.2">
      <c r="A58" s="36" t="s">
        <v>28</v>
      </c>
      <c r="B58" s="36" t="s">
        <v>216</v>
      </c>
      <c r="C58" s="37">
        <v>18</v>
      </c>
      <c r="D58" s="92">
        <f t="shared" ref="D58:D65" si="5">C58/115</f>
        <v>0.15652173913043479</v>
      </c>
    </row>
    <row r="59" spans="1:4" x14ac:dyDescent="0.2">
      <c r="A59" s="36" t="s">
        <v>28</v>
      </c>
      <c r="B59" s="36" t="s">
        <v>184</v>
      </c>
      <c r="C59" s="37">
        <v>13</v>
      </c>
      <c r="D59" s="92">
        <f t="shared" si="5"/>
        <v>0.11304347826086956</v>
      </c>
    </row>
    <row r="60" spans="1:4" x14ac:dyDescent="0.2">
      <c r="A60" s="36" t="s">
        <v>28</v>
      </c>
      <c r="B60" s="36" t="s">
        <v>185</v>
      </c>
      <c r="C60" s="37">
        <v>7</v>
      </c>
      <c r="D60" s="92">
        <f t="shared" si="5"/>
        <v>6.0869565217391307E-2</v>
      </c>
    </row>
    <row r="61" spans="1:4" x14ac:dyDescent="0.2">
      <c r="A61" s="36" t="s">
        <v>28</v>
      </c>
      <c r="B61" s="36" t="s">
        <v>217</v>
      </c>
      <c r="C61" s="37">
        <v>1</v>
      </c>
      <c r="D61" s="92">
        <f t="shared" si="5"/>
        <v>8.6956521739130436E-3</v>
      </c>
    </row>
    <row r="62" spans="1:4" x14ac:dyDescent="0.2">
      <c r="A62" s="36" t="s">
        <v>28</v>
      </c>
      <c r="B62" s="36" t="s">
        <v>267</v>
      </c>
      <c r="C62" s="37">
        <v>1</v>
      </c>
      <c r="D62" s="92">
        <f t="shared" si="5"/>
        <v>8.6956521739130436E-3</v>
      </c>
    </row>
    <row r="63" spans="1:4" x14ac:dyDescent="0.2">
      <c r="A63" s="36" t="s">
        <v>28</v>
      </c>
      <c r="B63" s="36" t="s">
        <v>292</v>
      </c>
      <c r="C63" s="37">
        <v>1</v>
      </c>
      <c r="D63" s="92">
        <f t="shared" si="5"/>
        <v>8.6956521739130436E-3</v>
      </c>
    </row>
    <row r="64" spans="1:4" x14ac:dyDescent="0.2">
      <c r="A64" s="36" t="s">
        <v>28</v>
      </c>
      <c r="B64" s="36" t="s">
        <v>268</v>
      </c>
      <c r="C64" s="37">
        <v>1</v>
      </c>
      <c r="D64" s="92">
        <f t="shared" si="5"/>
        <v>8.6956521739130436E-3</v>
      </c>
    </row>
    <row r="65" spans="1:4" x14ac:dyDescent="0.2">
      <c r="A65" s="90" t="s">
        <v>28</v>
      </c>
      <c r="B65" s="90" t="s">
        <v>33</v>
      </c>
      <c r="C65" s="90">
        <v>25</v>
      </c>
      <c r="D65" s="92">
        <f t="shared" si="5"/>
        <v>0.21739130434782608</v>
      </c>
    </row>
    <row r="66" spans="1:4" x14ac:dyDescent="0.2">
      <c r="C66" s="90">
        <f>SUM(C58:C65)</f>
        <v>67</v>
      </c>
      <c r="D66" s="92">
        <f>SUM(D58:D65)</f>
        <v>0.58260869565217388</v>
      </c>
    </row>
    <row r="67" spans="1:4" x14ac:dyDescent="0.2">
      <c r="A67" s="12"/>
      <c r="B67" s="24" t="s">
        <v>63</v>
      </c>
      <c r="C67" s="12"/>
      <c r="D67" s="12"/>
    </row>
    <row r="68" spans="1:4" x14ac:dyDescent="0.2">
      <c r="A68" s="42" t="s">
        <v>11</v>
      </c>
      <c r="B68" s="42" t="s">
        <v>64</v>
      </c>
      <c r="C68" s="42" t="s">
        <v>186</v>
      </c>
      <c r="D68" s="5" t="s">
        <v>16</v>
      </c>
    </row>
    <row r="69" spans="1:4" ht="24" x14ac:dyDescent="0.2">
      <c r="A69" s="43" t="s">
        <v>28</v>
      </c>
      <c r="B69" s="43" t="s">
        <v>65</v>
      </c>
      <c r="C69" s="44">
        <v>26</v>
      </c>
      <c r="D69" s="6">
        <f>C69/136</f>
        <v>0.19117647058823528</v>
      </c>
    </row>
    <row r="70" spans="1:4" x14ac:dyDescent="0.2">
      <c r="A70" s="43" t="s">
        <v>28</v>
      </c>
      <c r="B70" s="43" t="s">
        <v>74</v>
      </c>
      <c r="C70" s="44">
        <v>28</v>
      </c>
      <c r="D70" s="6">
        <f t="shared" ref="D70:D80" si="6">C70/136</f>
        <v>0.20588235294117646</v>
      </c>
    </row>
    <row r="71" spans="1:4" x14ac:dyDescent="0.2">
      <c r="A71" s="43" t="s">
        <v>28</v>
      </c>
      <c r="B71" s="43" t="s">
        <v>220</v>
      </c>
      <c r="C71" s="44">
        <v>5</v>
      </c>
      <c r="D71" s="6">
        <f t="shared" si="6"/>
        <v>3.6764705882352942E-2</v>
      </c>
    </row>
    <row r="72" spans="1:4" x14ac:dyDescent="0.2">
      <c r="A72" s="43" t="s">
        <v>28</v>
      </c>
      <c r="B72" s="43" t="s">
        <v>76</v>
      </c>
      <c r="C72" s="44">
        <v>18</v>
      </c>
      <c r="D72" s="6">
        <f t="shared" si="6"/>
        <v>0.13235294117647059</v>
      </c>
    </row>
    <row r="73" spans="1:4" x14ac:dyDescent="0.2">
      <c r="A73" s="43" t="s">
        <v>28</v>
      </c>
      <c r="B73" s="43" t="s">
        <v>77</v>
      </c>
      <c r="C73" s="44">
        <v>5</v>
      </c>
      <c r="D73" s="6">
        <f t="shared" si="6"/>
        <v>3.6764705882352942E-2</v>
      </c>
    </row>
    <row r="74" spans="1:4" x14ac:dyDescent="0.2">
      <c r="A74" s="43" t="s">
        <v>28</v>
      </c>
      <c r="B74" s="43" t="s">
        <v>66</v>
      </c>
      <c r="C74" s="44">
        <v>6</v>
      </c>
      <c r="D74" s="6">
        <f t="shared" si="6"/>
        <v>4.4117647058823532E-2</v>
      </c>
    </row>
    <row r="75" spans="1:4" x14ac:dyDescent="0.2">
      <c r="A75" s="43" t="s">
        <v>28</v>
      </c>
      <c r="B75" s="43" t="s">
        <v>68</v>
      </c>
      <c r="C75" s="44">
        <v>17</v>
      </c>
      <c r="D75" s="6">
        <f t="shared" si="6"/>
        <v>0.125</v>
      </c>
    </row>
    <row r="76" spans="1:4" x14ac:dyDescent="0.2">
      <c r="A76" s="43" t="s">
        <v>28</v>
      </c>
      <c r="B76" s="43" t="s">
        <v>69</v>
      </c>
      <c r="C76" s="44">
        <v>1</v>
      </c>
      <c r="D76" s="6">
        <f t="shared" si="6"/>
        <v>7.3529411764705881E-3</v>
      </c>
    </row>
    <row r="77" spans="1:4" x14ac:dyDescent="0.2">
      <c r="A77" s="43" t="s">
        <v>28</v>
      </c>
      <c r="B77" s="43" t="s">
        <v>70</v>
      </c>
      <c r="C77" s="44">
        <v>9</v>
      </c>
      <c r="D77" s="6">
        <f t="shared" si="6"/>
        <v>6.6176470588235295E-2</v>
      </c>
    </row>
    <row r="78" spans="1:4" x14ac:dyDescent="0.2">
      <c r="A78" s="43" t="s">
        <v>28</v>
      </c>
      <c r="B78" s="43" t="s">
        <v>71</v>
      </c>
      <c r="C78" s="44">
        <v>13</v>
      </c>
      <c r="D78" s="6">
        <f t="shared" si="6"/>
        <v>9.5588235294117641E-2</v>
      </c>
    </row>
    <row r="79" spans="1:4" x14ac:dyDescent="0.2">
      <c r="A79" s="43" t="s">
        <v>28</v>
      </c>
      <c r="B79" s="43" t="s">
        <v>72</v>
      </c>
      <c r="C79" s="44">
        <v>6</v>
      </c>
      <c r="D79" s="6">
        <f t="shared" si="6"/>
        <v>4.4117647058823532E-2</v>
      </c>
    </row>
    <row r="80" spans="1:4" x14ac:dyDescent="0.2">
      <c r="A80" s="43" t="s">
        <v>28</v>
      </c>
      <c r="B80" s="43" t="s">
        <v>73</v>
      </c>
      <c r="C80" s="44">
        <v>2</v>
      </c>
      <c r="D80" s="6">
        <f t="shared" si="6"/>
        <v>1.4705882352941176E-2</v>
      </c>
    </row>
    <row r="81" spans="1:4" x14ac:dyDescent="0.2">
      <c r="C81" s="90">
        <f>SUM(C69:C80)</f>
        <v>136</v>
      </c>
      <c r="D81" s="92">
        <f>SUM(D69:D80)</f>
        <v>0.99999999999999978</v>
      </c>
    </row>
    <row r="83" spans="1:4" x14ac:dyDescent="0.2">
      <c r="B83" s="24" t="s">
        <v>63</v>
      </c>
    </row>
    <row r="84" spans="1:4" x14ac:dyDescent="0.2">
      <c r="A84" s="95" t="s">
        <v>11</v>
      </c>
      <c r="B84" s="95" t="s">
        <v>187</v>
      </c>
      <c r="C84" s="95" t="s">
        <v>37</v>
      </c>
      <c r="D84" s="94" t="s">
        <v>16</v>
      </c>
    </row>
    <row r="85" spans="1:4" x14ac:dyDescent="0.2">
      <c r="A85" s="46" t="s">
        <v>28</v>
      </c>
      <c r="B85" s="46" t="s">
        <v>174</v>
      </c>
      <c r="C85" s="47">
        <v>26</v>
      </c>
      <c r="D85" s="92">
        <f>C85/127</f>
        <v>0.20472440944881889</v>
      </c>
    </row>
    <row r="86" spans="1:4" x14ac:dyDescent="0.2">
      <c r="A86" s="46" t="s">
        <v>28</v>
      </c>
      <c r="B86" s="46" t="s">
        <v>81</v>
      </c>
      <c r="C86" s="47">
        <v>23</v>
      </c>
      <c r="D86" s="92">
        <f t="shared" ref="D86:D89" si="7">C86/127</f>
        <v>0.18110236220472442</v>
      </c>
    </row>
    <row r="87" spans="1:4" x14ac:dyDescent="0.2">
      <c r="A87" s="46" t="s">
        <v>28</v>
      </c>
      <c r="B87" s="46" t="s">
        <v>82</v>
      </c>
      <c r="C87" s="47">
        <v>47</v>
      </c>
      <c r="D87" s="92">
        <f t="shared" si="7"/>
        <v>0.37007874015748032</v>
      </c>
    </row>
    <row r="88" spans="1:4" x14ac:dyDescent="0.2">
      <c r="A88" s="46" t="s">
        <v>28</v>
      </c>
      <c r="B88" s="46" t="s">
        <v>83</v>
      </c>
      <c r="C88" s="47">
        <v>17</v>
      </c>
      <c r="D88" s="92">
        <f t="shared" si="7"/>
        <v>0.13385826771653545</v>
      </c>
    </row>
    <row r="89" spans="1:4" x14ac:dyDescent="0.2">
      <c r="A89" s="46" t="s">
        <v>28</v>
      </c>
      <c r="B89" s="46" t="s">
        <v>84</v>
      </c>
      <c r="C89" s="47">
        <v>14</v>
      </c>
      <c r="D89" s="92">
        <f t="shared" si="7"/>
        <v>0.11023622047244094</v>
      </c>
    </row>
    <row r="90" spans="1:4" x14ac:dyDescent="0.2">
      <c r="C90" s="90">
        <f>SUM(C85:C89)</f>
        <v>127</v>
      </c>
      <c r="D90" s="92">
        <f>SUM(D85:D89)</f>
        <v>1</v>
      </c>
    </row>
    <row r="92" spans="1:4" x14ac:dyDescent="0.2">
      <c r="B92" s="24" t="s">
        <v>63</v>
      </c>
    </row>
    <row r="93" spans="1:4" x14ac:dyDescent="0.2">
      <c r="A93" s="96" t="s">
        <v>11</v>
      </c>
      <c r="B93" s="96" t="s">
        <v>87</v>
      </c>
      <c r="C93" s="96" t="s">
        <v>37</v>
      </c>
      <c r="D93" s="94" t="s">
        <v>16</v>
      </c>
    </row>
    <row r="94" spans="1:4" x14ac:dyDescent="0.2">
      <c r="A94" s="49" t="s">
        <v>28</v>
      </c>
      <c r="B94" s="49" t="s">
        <v>88</v>
      </c>
      <c r="C94" s="50">
        <v>16</v>
      </c>
      <c r="D94" s="92">
        <f>C94/79</f>
        <v>0.20253164556962025</v>
      </c>
    </row>
    <row r="95" spans="1:4" x14ac:dyDescent="0.2">
      <c r="A95" s="49" t="s">
        <v>28</v>
      </c>
      <c r="B95" s="49" t="s">
        <v>89</v>
      </c>
      <c r="C95" s="50">
        <v>5</v>
      </c>
      <c r="D95" s="92">
        <f t="shared" ref="D95:D100" si="8">C95/79</f>
        <v>6.3291139240506333E-2</v>
      </c>
    </row>
    <row r="96" spans="1:4" x14ac:dyDescent="0.2">
      <c r="A96" s="49" t="s">
        <v>28</v>
      </c>
      <c r="B96" s="49" t="s">
        <v>90</v>
      </c>
      <c r="C96" s="50">
        <v>12</v>
      </c>
      <c r="D96" s="92">
        <f t="shared" si="8"/>
        <v>0.15189873417721519</v>
      </c>
    </row>
    <row r="97" spans="1:4" x14ac:dyDescent="0.2">
      <c r="A97" s="49" t="s">
        <v>28</v>
      </c>
      <c r="B97" s="49" t="s">
        <v>91</v>
      </c>
      <c r="C97" s="50">
        <v>21</v>
      </c>
      <c r="D97" s="92">
        <f t="shared" si="8"/>
        <v>0.26582278481012656</v>
      </c>
    </row>
    <row r="98" spans="1:4" ht="24" x14ac:dyDescent="0.2">
      <c r="A98" s="49" t="s">
        <v>28</v>
      </c>
      <c r="B98" s="49" t="s">
        <v>92</v>
      </c>
      <c r="C98" s="50">
        <v>13</v>
      </c>
      <c r="D98" s="92">
        <f t="shared" si="8"/>
        <v>0.16455696202531644</v>
      </c>
    </row>
    <row r="99" spans="1:4" x14ac:dyDescent="0.2">
      <c r="A99" s="49" t="s">
        <v>28</v>
      </c>
      <c r="B99" s="49" t="s">
        <v>93</v>
      </c>
      <c r="C99" s="50">
        <v>11</v>
      </c>
      <c r="D99" s="92">
        <f t="shared" si="8"/>
        <v>0.13924050632911392</v>
      </c>
    </row>
    <row r="100" spans="1:4" x14ac:dyDescent="0.2">
      <c r="A100" s="49" t="s">
        <v>28</v>
      </c>
      <c r="B100" s="49" t="s">
        <v>95</v>
      </c>
      <c r="C100" s="50">
        <v>1</v>
      </c>
      <c r="D100" s="92">
        <f t="shared" si="8"/>
        <v>1.2658227848101266E-2</v>
      </c>
    </row>
    <row r="101" spans="1:4" x14ac:dyDescent="0.2">
      <c r="A101" s="49"/>
      <c r="B101" s="49"/>
      <c r="C101" s="50">
        <f>SUM(C94:C100)</f>
        <v>79</v>
      </c>
      <c r="D101" s="92">
        <f>SUM(D94:D100)</f>
        <v>0.99999999999999989</v>
      </c>
    </row>
    <row r="103" spans="1:4" x14ac:dyDescent="0.2">
      <c r="B103" s="24" t="s">
        <v>63</v>
      </c>
    </row>
    <row r="104" spans="1:4" x14ac:dyDescent="0.2">
      <c r="A104" s="96" t="s">
        <v>11</v>
      </c>
      <c r="B104" s="96" t="s">
        <v>87</v>
      </c>
      <c r="C104" s="96" t="s">
        <v>37</v>
      </c>
      <c r="D104" s="94" t="s">
        <v>16</v>
      </c>
    </row>
    <row r="105" spans="1:4" x14ac:dyDescent="0.2">
      <c r="A105" s="49" t="s">
        <v>28</v>
      </c>
      <c r="B105" s="49" t="s">
        <v>88</v>
      </c>
      <c r="C105" s="50">
        <v>16</v>
      </c>
      <c r="D105" s="92">
        <f t="shared" ref="D105:D111" si="9">C105/79</f>
        <v>0.20253164556962025</v>
      </c>
    </row>
    <row r="106" spans="1:4" x14ac:dyDescent="0.2">
      <c r="A106" s="49" t="s">
        <v>28</v>
      </c>
      <c r="B106" s="49" t="s">
        <v>89</v>
      </c>
      <c r="C106" s="50">
        <v>5</v>
      </c>
      <c r="D106" s="92">
        <f t="shared" si="9"/>
        <v>6.3291139240506333E-2</v>
      </c>
    </row>
    <row r="107" spans="1:4" x14ac:dyDescent="0.2">
      <c r="A107" s="49" t="s">
        <v>28</v>
      </c>
      <c r="B107" s="49" t="s">
        <v>90</v>
      </c>
      <c r="C107" s="50">
        <v>12</v>
      </c>
      <c r="D107" s="92">
        <f t="shared" si="9"/>
        <v>0.15189873417721519</v>
      </c>
    </row>
    <row r="108" spans="1:4" x14ac:dyDescent="0.2">
      <c r="A108" s="49" t="s">
        <v>28</v>
      </c>
      <c r="B108" s="49" t="s">
        <v>91</v>
      </c>
      <c r="C108" s="50">
        <v>21</v>
      </c>
      <c r="D108" s="92">
        <f t="shared" si="9"/>
        <v>0.26582278481012656</v>
      </c>
    </row>
    <row r="109" spans="1:4" ht="24" x14ac:dyDescent="0.2">
      <c r="A109" s="49" t="s">
        <v>28</v>
      </c>
      <c r="B109" s="49" t="s">
        <v>92</v>
      </c>
      <c r="C109" s="50">
        <v>13</v>
      </c>
      <c r="D109" s="92">
        <f t="shared" si="9"/>
        <v>0.16455696202531644</v>
      </c>
    </row>
    <row r="110" spans="1:4" x14ac:dyDescent="0.2">
      <c r="A110" s="49" t="s">
        <v>28</v>
      </c>
      <c r="B110" s="49" t="s">
        <v>93</v>
      </c>
      <c r="C110" s="50">
        <v>11</v>
      </c>
      <c r="D110" s="92">
        <f t="shared" si="9"/>
        <v>0.13924050632911392</v>
      </c>
    </row>
    <row r="111" spans="1:4" x14ac:dyDescent="0.2">
      <c r="A111" s="49" t="s">
        <v>28</v>
      </c>
      <c r="B111" s="49" t="s">
        <v>95</v>
      </c>
      <c r="C111" s="50">
        <v>1</v>
      </c>
      <c r="D111" s="92">
        <f t="shared" si="9"/>
        <v>1.2658227848101266E-2</v>
      </c>
    </row>
    <row r="112" spans="1:4" x14ac:dyDescent="0.2">
      <c r="A112" s="49"/>
      <c r="B112" s="49"/>
      <c r="C112" s="50">
        <f>SUM(C105:C111)</f>
        <v>79</v>
      </c>
      <c r="D112" s="92">
        <f>SUM(D105:D111)</f>
        <v>0.99999999999999989</v>
      </c>
    </row>
    <row r="114" spans="1:5" x14ac:dyDescent="0.2">
      <c r="B114" s="24" t="s">
        <v>63</v>
      </c>
    </row>
    <row r="115" spans="1:5" x14ac:dyDescent="0.2">
      <c r="A115" s="97" t="s">
        <v>11</v>
      </c>
      <c r="B115" s="97" t="s">
        <v>188</v>
      </c>
      <c r="C115" s="97" t="s">
        <v>37</v>
      </c>
      <c r="D115" s="94" t="s">
        <v>16</v>
      </c>
    </row>
    <row r="116" spans="1:5" x14ac:dyDescent="0.2">
      <c r="A116" s="52" t="s">
        <v>28</v>
      </c>
      <c r="B116" s="52" t="s">
        <v>98</v>
      </c>
      <c r="C116" s="53">
        <v>26</v>
      </c>
      <c r="D116" s="92">
        <f>C116/170</f>
        <v>0.15294117647058825</v>
      </c>
    </row>
    <row r="117" spans="1:5" x14ac:dyDescent="0.2">
      <c r="A117" s="52" t="s">
        <v>28</v>
      </c>
      <c r="B117" s="52" t="s">
        <v>99</v>
      </c>
      <c r="C117" s="53">
        <v>26</v>
      </c>
      <c r="D117" s="92">
        <f t="shared" ref="D117:D123" si="10">C117/170</f>
        <v>0.15294117647058825</v>
      </c>
    </row>
    <row r="118" spans="1:5" x14ac:dyDescent="0.2">
      <c r="A118" s="52" t="s">
        <v>28</v>
      </c>
      <c r="B118" s="52" t="s">
        <v>100</v>
      </c>
      <c r="C118" s="53">
        <v>11</v>
      </c>
      <c r="D118" s="92">
        <f t="shared" si="10"/>
        <v>6.4705882352941183E-2</v>
      </c>
    </row>
    <row r="119" spans="1:5" x14ac:dyDescent="0.2">
      <c r="A119" s="52" t="s">
        <v>28</v>
      </c>
      <c r="B119" s="52" t="s">
        <v>101</v>
      </c>
      <c r="C119" s="53">
        <v>13</v>
      </c>
      <c r="D119" s="92">
        <f t="shared" si="10"/>
        <v>7.6470588235294124E-2</v>
      </c>
    </row>
    <row r="120" spans="1:5" x14ac:dyDescent="0.2">
      <c r="A120" s="52" t="s">
        <v>28</v>
      </c>
      <c r="B120" s="52" t="s">
        <v>102</v>
      </c>
      <c r="C120" s="53">
        <v>26</v>
      </c>
      <c r="D120" s="92">
        <f t="shared" si="10"/>
        <v>0.15294117647058825</v>
      </c>
    </row>
    <row r="121" spans="1:5" x14ac:dyDescent="0.2">
      <c r="A121" s="52" t="s">
        <v>28</v>
      </c>
      <c r="B121" s="52" t="s">
        <v>103</v>
      </c>
      <c r="C121" s="53">
        <v>30</v>
      </c>
      <c r="D121" s="92">
        <f t="shared" si="10"/>
        <v>0.17647058823529413</v>
      </c>
    </row>
    <row r="122" spans="1:5" x14ac:dyDescent="0.2">
      <c r="A122" s="52" t="s">
        <v>28</v>
      </c>
      <c r="B122" s="52" t="s">
        <v>104</v>
      </c>
      <c r="C122" s="53">
        <v>37</v>
      </c>
      <c r="D122" s="92">
        <f t="shared" si="10"/>
        <v>0.21764705882352942</v>
      </c>
    </row>
    <row r="123" spans="1:5" x14ac:dyDescent="0.2">
      <c r="A123" s="52" t="s">
        <v>28</v>
      </c>
      <c r="B123" s="52" t="s">
        <v>105</v>
      </c>
      <c r="C123" s="53">
        <v>1</v>
      </c>
      <c r="D123" s="92">
        <f t="shared" si="10"/>
        <v>5.8823529411764705E-3</v>
      </c>
    </row>
    <row r="124" spans="1:5" x14ac:dyDescent="0.2">
      <c r="C124" s="90">
        <f>SUM(C116:C123)</f>
        <v>170</v>
      </c>
      <c r="D124" s="92">
        <f>SUM(D116:D123)</f>
        <v>1.0000000000000002</v>
      </c>
    </row>
    <row r="126" spans="1:5" ht="35.25" customHeight="1" x14ac:dyDescent="0.2">
      <c r="A126" s="54" t="s">
        <v>11</v>
      </c>
      <c r="B126" s="54" t="s">
        <v>202</v>
      </c>
      <c r="C126" s="5" t="s">
        <v>203</v>
      </c>
      <c r="D126" s="94" t="s">
        <v>3</v>
      </c>
      <c r="E126" s="5" t="s">
        <v>10</v>
      </c>
    </row>
    <row r="127" spans="1:5" x14ac:dyDescent="0.2">
      <c r="A127" s="46" t="s">
        <v>28</v>
      </c>
      <c r="B127" s="47">
        <v>52</v>
      </c>
      <c r="C127" s="90">
        <v>5</v>
      </c>
      <c r="D127" s="90">
        <f>SUM(B127:C127)</f>
        <v>57</v>
      </c>
      <c r="E127" s="90">
        <v>5</v>
      </c>
    </row>
    <row r="129" spans="1:5" x14ac:dyDescent="0.2">
      <c r="A129" s="55" t="s">
        <v>11</v>
      </c>
      <c r="B129" s="55" t="s">
        <v>189</v>
      </c>
      <c r="C129" s="56" t="s">
        <v>37</v>
      </c>
      <c r="D129" s="5" t="s">
        <v>16</v>
      </c>
    </row>
    <row r="130" spans="1:5" x14ac:dyDescent="0.2">
      <c r="A130" s="57" t="s">
        <v>28</v>
      </c>
      <c r="B130" s="57" t="s">
        <v>60</v>
      </c>
      <c r="C130" s="58">
        <v>46</v>
      </c>
      <c r="D130" s="92">
        <f t="shared" ref="D130" si="11">C130/115</f>
        <v>0.4</v>
      </c>
    </row>
    <row r="132" spans="1:5" ht="24" x14ac:dyDescent="0.2">
      <c r="A132" s="59" t="s">
        <v>11</v>
      </c>
      <c r="B132" s="59" t="s">
        <v>190</v>
      </c>
      <c r="C132" s="59" t="s">
        <v>37</v>
      </c>
      <c r="D132" s="5" t="s">
        <v>221</v>
      </c>
      <c r="E132" s="5" t="s">
        <v>3</v>
      </c>
    </row>
    <row r="133" spans="1:5" x14ac:dyDescent="0.2">
      <c r="A133" s="60" t="s">
        <v>28</v>
      </c>
      <c r="B133" s="60" t="s">
        <v>60</v>
      </c>
      <c r="C133" s="61">
        <v>28</v>
      </c>
      <c r="D133" s="90">
        <v>3</v>
      </c>
      <c r="E133" s="90">
        <f>SUM(C133:D133)</f>
        <v>31</v>
      </c>
    </row>
    <row r="135" spans="1:5" x14ac:dyDescent="0.2">
      <c r="A135" s="62" t="s">
        <v>11</v>
      </c>
      <c r="B135" s="62" t="s">
        <v>191</v>
      </c>
      <c r="C135" s="62" t="s">
        <v>37</v>
      </c>
      <c r="D135" s="5" t="s">
        <v>16</v>
      </c>
    </row>
    <row r="136" spans="1:5" x14ac:dyDescent="0.2">
      <c r="A136" s="63" t="s">
        <v>28</v>
      </c>
      <c r="B136" s="63" t="s">
        <v>60</v>
      </c>
      <c r="C136" s="64">
        <v>43</v>
      </c>
      <c r="D136" s="92">
        <f t="shared" ref="D136" si="12">C136/115</f>
        <v>0.37391304347826088</v>
      </c>
    </row>
    <row r="138" spans="1:5" ht="24" x14ac:dyDescent="0.2">
      <c r="A138" s="98" t="s">
        <v>11</v>
      </c>
      <c r="B138" s="98" t="s">
        <v>222</v>
      </c>
      <c r="C138" s="98" t="s">
        <v>37</v>
      </c>
      <c r="D138" s="5" t="s">
        <v>223</v>
      </c>
    </row>
    <row r="139" spans="1:5" x14ac:dyDescent="0.2">
      <c r="A139" s="99" t="s">
        <v>28</v>
      </c>
      <c r="B139" s="99" t="s">
        <v>60</v>
      </c>
      <c r="C139" s="100">
        <v>27</v>
      </c>
      <c r="D139" s="6">
        <f>C139/43</f>
        <v>0.62790697674418605</v>
      </c>
    </row>
    <row r="141" spans="1:5" x14ac:dyDescent="0.2">
      <c r="A141" s="65" t="s">
        <v>11</v>
      </c>
      <c r="B141" s="65" t="s">
        <v>192</v>
      </c>
      <c r="C141" s="65" t="s">
        <v>37</v>
      </c>
      <c r="D141" s="5" t="s">
        <v>16</v>
      </c>
    </row>
    <row r="142" spans="1:5" x14ac:dyDescent="0.2">
      <c r="A142" s="66" t="s">
        <v>28</v>
      </c>
      <c r="B142" s="66" t="s">
        <v>60</v>
      </c>
      <c r="C142" s="67">
        <v>27</v>
      </c>
      <c r="D142" s="92">
        <f t="shared" ref="D142" si="13">C142/115</f>
        <v>0.23478260869565218</v>
      </c>
    </row>
    <row r="144" spans="1:5" x14ac:dyDescent="0.2">
      <c r="A144" s="65" t="s">
        <v>11</v>
      </c>
      <c r="B144" s="65" t="s">
        <v>224</v>
      </c>
      <c r="C144" s="65" t="s">
        <v>37</v>
      </c>
      <c r="D144" s="5" t="s">
        <v>225</v>
      </c>
    </row>
    <row r="145" spans="1:6" x14ac:dyDescent="0.2">
      <c r="A145" s="66" t="s">
        <v>28</v>
      </c>
      <c r="B145" s="66" t="s">
        <v>114</v>
      </c>
      <c r="C145" s="67">
        <v>10</v>
      </c>
      <c r="D145" s="6">
        <f>C145/27</f>
        <v>0.37037037037037035</v>
      </c>
    </row>
    <row r="146" spans="1:6" x14ac:dyDescent="0.2">
      <c r="A146" s="66" t="s">
        <v>28</v>
      </c>
      <c r="B146" s="66" t="s">
        <v>115</v>
      </c>
      <c r="C146" s="67">
        <v>16</v>
      </c>
      <c r="D146" s="6">
        <f>C146/27</f>
        <v>0.59259259259259256</v>
      </c>
    </row>
    <row r="147" spans="1:6" x14ac:dyDescent="0.2">
      <c r="A147" s="66" t="s">
        <v>28</v>
      </c>
      <c r="B147" s="66" t="s">
        <v>33</v>
      </c>
      <c r="C147" s="67">
        <v>1</v>
      </c>
      <c r="D147" s="6">
        <f>C147/27</f>
        <v>3.7037037037037035E-2</v>
      </c>
    </row>
    <row r="148" spans="1:6" x14ac:dyDescent="0.2">
      <c r="C148" s="90">
        <f>SUM(C145:C147)</f>
        <v>27</v>
      </c>
      <c r="D148" s="92">
        <f>SUM(D145:D147)</f>
        <v>1</v>
      </c>
    </row>
    <row r="149" spans="1:6" x14ac:dyDescent="0.2">
      <c r="B149" s="104" t="s">
        <v>63</v>
      </c>
    </row>
    <row r="150" spans="1:6" x14ac:dyDescent="0.2">
      <c r="A150" s="68" t="s">
        <v>11</v>
      </c>
      <c r="B150" s="68" t="s">
        <v>193</v>
      </c>
      <c r="C150" s="68" t="s">
        <v>37</v>
      </c>
      <c r="D150" s="5" t="s">
        <v>16</v>
      </c>
    </row>
    <row r="151" spans="1:6" x14ac:dyDescent="0.2">
      <c r="A151" s="102" t="s">
        <v>28</v>
      </c>
      <c r="B151" s="102" t="s">
        <v>117</v>
      </c>
      <c r="C151" s="103">
        <v>27</v>
      </c>
      <c r="D151" s="92">
        <f>C151/77</f>
        <v>0.35064935064935066</v>
      </c>
    </row>
    <row r="152" spans="1:6" x14ac:dyDescent="0.2">
      <c r="A152" s="102" t="s">
        <v>28</v>
      </c>
      <c r="B152" s="102" t="s">
        <v>118</v>
      </c>
      <c r="C152" s="103">
        <v>13</v>
      </c>
      <c r="D152" s="92">
        <f t="shared" ref="D152:D157" si="14">C152/77</f>
        <v>0.16883116883116883</v>
      </c>
    </row>
    <row r="153" spans="1:6" x14ac:dyDescent="0.2">
      <c r="A153" s="102" t="s">
        <v>28</v>
      </c>
      <c r="B153" s="102" t="s">
        <v>119</v>
      </c>
      <c r="C153" s="103">
        <v>26</v>
      </c>
      <c r="D153" s="92">
        <f t="shared" si="14"/>
        <v>0.33766233766233766</v>
      </c>
    </row>
    <row r="154" spans="1:6" x14ac:dyDescent="0.2">
      <c r="A154" s="102" t="s">
        <v>28</v>
      </c>
      <c r="B154" s="102" t="s">
        <v>120</v>
      </c>
      <c r="C154" s="103">
        <v>5</v>
      </c>
      <c r="D154" s="92">
        <f t="shared" si="14"/>
        <v>6.4935064935064929E-2</v>
      </c>
    </row>
    <row r="155" spans="1:6" x14ac:dyDescent="0.2">
      <c r="A155" s="102" t="s">
        <v>28</v>
      </c>
      <c r="B155" s="102" t="s">
        <v>121</v>
      </c>
      <c r="C155" s="103">
        <v>2</v>
      </c>
      <c r="D155" s="92">
        <f t="shared" si="14"/>
        <v>2.5974025974025976E-2</v>
      </c>
    </row>
    <row r="156" spans="1:6" x14ac:dyDescent="0.2">
      <c r="A156" s="102" t="s">
        <v>28</v>
      </c>
      <c r="B156" s="102" t="s">
        <v>122</v>
      </c>
      <c r="C156" s="103">
        <v>3</v>
      </c>
      <c r="D156" s="92">
        <f t="shared" si="14"/>
        <v>3.896103896103896E-2</v>
      </c>
    </row>
    <row r="157" spans="1:6" x14ac:dyDescent="0.2">
      <c r="A157" s="102" t="s">
        <v>28</v>
      </c>
      <c r="B157" s="102" t="s">
        <v>123</v>
      </c>
      <c r="C157" s="103">
        <v>1</v>
      </c>
      <c r="D157" s="92">
        <f t="shared" si="14"/>
        <v>1.2987012987012988E-2</v>
      </c>
    </row>
    <row r="158" spans="1:6" x14ac:dyDescent="0.2">
      <c r="C158" s="90">
        <f>SUM(C151:C157)</f>
        <v>77</v>
      </c>
      <c r="D158" s="92">
        <f>SUM(D151:D157)</f>
        <v>1</v>
      </c>
    </row>
    <row r="160" spans="1:6" x14ac:dyDescent="0.2">
      <c r="A160" s="71" t="s">
        <v>11</v>
      </c>
      <c r="B160" s="71" t="s">
        <v>124</v>
      </c>
      <c r="C160" s="71" t="s">
        <v>175</v>
      </c>
      <c r="D160" s="71" t="s">
        <v>194</v>
      </c>
      <c r="E160" s="71" t="s">
        <v>3</v>
      </c>
      <c r="F160" s="71" t="s">
        <v>16</v>
      </c>
    </row>
    <row r="161" spans="1:6" s="148" customFormat="1" x14ac:dyDescent="0.2">
      <c r="A161" s="72" t="s">
        <v>28</v>
      </c>
      <c r="B161" s="72" t="s">
        <v>127</v>
      </c>
      <c r="C161" s="73">
        <v>0</v>
      </c>
      <c r="D161" s="73">
        <v>4</v>
      </c>
      <c r="E161" s="73">
        <f t="shared" ref="E161:E168" si="15">SUM(C161:D161)</f>
        <v>4</v>
      </c>
      <c r="F161" s="114">
        <f>E161/146</f>
        <v>2.7397260273972601E-2</v>
      </c>
    </row>
    <row r="162" spans="1:6" x14ac:dyDescent="0.2">
      <c r="A162" s="76" t="s">
        <v>28</v>
      </c>
      <c r="B162" s="76" t="s">
        <v>128</v>
      </c>
      <c r="C162" s="77">
        <v>9</v>
      </c>
      <c r="D162" s="90">
        <v>7</v>
      </c>
      <c r="E162" s="73">
        <f t="shared" si="15"/>
        <v>16</v>
      </c>
      <c r="F162" s="114">
        <f t="shared" ref="F162:F168" si="16">E162/146</f>
        <v>0.1095890410958904</v>
      </c>
    </row>
    <row r="163" spans="1:6" x14ac:dyDescent="0.2">
      <c r="A163" s="76" t="s">
        <v>28</v>
      </c>
      <c r="B163" s="76" t="s">
        <v>129</v>
      </c>
      <c r="C163" s="77">
        <v>18</v>
      </c>
      <c r="D163" s="90">
        <v>4</v>
      </c>
      <c r="E163" s="73">
        <f t="shared" si="15"/>
        <v>22</v>
      </c>
      <c r="F163" s="114">
        <f t="shared" si="16"/>
        <v>0.15068493150684931</v>
      </c>
    </row>
    <row r="164" spans="1:6" x14ac:dyDescent="0.2">
      <c r="A164" s="76" t="s">
        <v>28</v>
      </c>
      <c r="B164" s="76" t="s">
        <v>130</v>
      </c>
      <c r="C164" s="77">
        <v>15</v>
      </c>
      <c r="D164" s="90">
        <v>5</v>
      </c>
      <c r="E164" s="73">
        <f t="shared" si="15"/>
        <v>20</v>
      </c>
      <c r="F164" s="114">
        <f t="shared" si="16"/>
        <v>0.13698630136986301</v>
      </c>
    </row>
    <row r="165" spans="1:6" x14ac:dyDescent="0.2">
      <c r="A165" s="76" t="s">
        <v>28</v>
      </c>
      <c r="B165" s="76" t="s">
        <v>131</v>
      </c>
      <c r="C165" s="77">
        <v>29</v>
      </c>
      <c r="D165" s="90">
        <v>4</v>
      </c>
      <c r="E165" s="73">
        <f t="shared" si="15"/>
        <v>33</v>
      </c>
      <c r="F165" s="114">
        <f t="shared" si="16"/>
        <v>0.22602739726027396</v>
      </c>
    </row>
    <row r="166" spans="1:6" x14ac:dyDescent="0.2">
      <c r="A166" s="76" t="s">
        <v>28</v>
      </c>
      <c r="B166" s="76" t="s">
        <v>132</v>
      </c>
      <c r="C166" s="77">
        <v>24</v>
      </c>
      <c r="D166" s="90">
        <v>3</v>
      </c>
      <c r="E166" s="73">
        <f t="shared" si="15"/>
        <v>27</v>
      </c>
      <c r="F166" s="114">
        <f t="shared" si="16"/>
        <v>0.18493150684931506</v>
      </c>
    </row>
    <row r="167" spans="1:6" x14ac:dyDescent="0.2">
      <c r="A167" s="76" t="s">
        <v>28</v>
      </c>
      <c r="B167" s="76" t="s">
        <v>133</v>
      </c>
      <c r="C167" s="77">
        <v>15</v>
      </c>
      <c r="D167" s="90">
        <v>4</v>
      </c>
      <c r="E167" s="73">
        <f t="shared" si="15"/>
        <v>19</v>
      </c>
      <c r="F167" s="114">
        <f t="shared" si="16"/>
        <v>0.13013698630136986</v>
      </c>
    </row>
    <row r="168" spans="1:6" x14ac:dyDescent="0.2">
      <c r="A168" s="76" t="s">
        <v>28</v>
      </c>
      <c r="B168" s="76" t="s">
        <v>134</v>
      </c>
      <c r="C168" s="77">
        <v>5</v>
      </c>
      <c r="D168" s="90">
        <v>0</v>
      </c>
      <c r="E168" s="73">
        <f t="shared" si="15"/>
        <v>5</v>
      </c>
      <c r="F168" s="114">
        <f t="shared" si="16"/>
        <v>3.4246575342465752E-2</v>
      </c>
    </row>
    <row r="169" spans="1:6" x14ac:dyDescent="0.2">
      <c r="C169" s="90">
        <f>SUM(C161:C168)</f>
        <v>115</v>
      </c>
      <c r="D169" s="90">
        <f>SUM(D161:D168)</f>
        <v>31</v>
      </c>
      <c r="E169" s="90">
        <f>SUM(E161:E168)</f>
        <v>146</v>
      </c>
      <c r="F169" s="92">
        <f>SUM(F161:F168)</f>
        <v>0.99999999999999989</v>
      </c>
    </row>
    <row r="171" spans="1:6" x14ac:dyDescent="0.2">
      <c r="A171" s="78" t="s">
        <v>11</v>
      </c>
      <c r="B171" s="78" t="s">
        <v>135</v>
      </c>
      <c r="C171" s="78" t="s">
        <v>196</v>
      </c>
      <c r="D171" s="78" t="s">
        <v>197</v>
      </c>
      <c r="E171" s="78" t="s">
        <v>3</v>
      </c>
      <c r="F171" s="78" t="s">
        <v>16</v>
      </c>
    </row>
    <row r="172" spans="1:6" x14ac:dyDescent="0.2">
      <c r="A172" s="79" t="s">
        <v>28</v>
      </c>
      <c r="B172" s="79" t="s">
        <v>137</v>
      </c>
      <c r="C172" s="80">
        <v>104</v>
      </c>
      <c r="D172" s="90">
        <v>26</v>
      </c>
      <c r="E172" s="90">
        <f>SUM(C172:D172)</f>
        <v>130</v>
      </c>
      <c r="F172" s="114">
        <f t="shared" ref="F172:F176" si="17">E172/146</f>
        <v>0.8904109589041096</v>
      </c>
    </row>
    <row r="173" spans="1:6" x14ac:dyDescent="0.2">
      <c r="A173" s="79" t="s">
        <v>28</v>
      </c>
      <c r="B173" s="79" t="s">
        <v>138</v>
      </c>
      <c r="C173" s="80">
        <v>1</v>
      </c>
      <c r="D173" s="90">
        <v>0</v>
      </c>
      <c r="E173" s="90">
        <f>SUM(C173:D173)</f>
        <v>1</v>
      </c>
      <c r="F173" s="114">
        <f t="shared" si="17"/>
        <v>6.8493150684931503E-3</v>
      </c>
    </row>
    <row r="174" spans="1:6" x14ac:dyDescent="0.2">
      <c r="A174" s="79" t="s">
        <v>28</v>
      </c>
      <c r="B174" s="79" t="s">
        <v>140</v>
      </c>
      <c r="C174" s="80">
        <v>1</v>
      </c>
      <c r="D174" s="90">
        <v>0</v>
      </c>
      <c r="E174" s="90">
        <f>SUM(C174:D174)</f>
        <v>1</v>
      </c>
      <c r="F174" s="114">
        <f t="shared" si="17"/>
        <v>6.8493150684931503E-3</v>
      </c>
    </row>
    <row r="175" spans="1:6" x14ac:dyDescent="0.2">
      <c r="A175" s="79" t="s">
        <v>28</v>
      </c>
      <c r="B175" s="79" t="s">
        <v>141</v>
      </c>
      <c r="C175" s="80">
        <v>1</v>
      </c>
      <c r="D175" s="90">
        <v>0</v>
      </c>
      <c r="E175" s="90">
        <f>SUM(C175:D175)</f>
        <v>1</v>
      </c>
      <c r="F175" s="114">
        <f t="shared" si="17"/>
        <v>6.8493150684931503E-3</v>
      </c>
    </row>
    <row r="176" spans="1:6" x14ac:dyDescent="0.2">
      <c r="A176" s="79" t="s">
        <v>28</v>
      </c>
      <c r="B176" s="79" t="s">
        <v>142</v>
      </c>
      <c r="C176" s="80">
        <v>8</v>
      </c>
      <c r="D176" s="90">
        <v>5</v>
      </c>
      <c r="E176" s="90">
        <f>SUM(C176:D176)</f>
        <v>13</v>
      </c>
      <c r="F176" s="114">
        <f t="shared" si="17"/>
        <v>8.9041095890410954E-2</v>
      </c>
    </row>
    <row r="177" spans="1:6" x14ac:dyDescent="0.2">
      <c r="C177" s="90">
        <f>SUM(C172:C176)</f>
        <v>115</v>
      </c>
      <c r="D177" s="90">
        <f>SUM(D172:D176)</f>
        <v>31</v>
      </c>
      <c r="E177" s="90">
        <f>SUM(E172:E176)</f>
        <v>146</v>
      </c>
      <c r="F177" s="92">
        <f>SUM(F172:F176)</f>
        <v>1</v>
      </c>
    </row>
    <row r="179" spans="1:6" x14ac:dyDescent="0.2">
      <c r="A179" s="78" t="s">
        <v>11</v>
      </c>
      <c r="B179" s="78" t="s">
        <v>198</v>
      </c>
      <c r="C179" s="78" t="s">
        <v>196</v>
      </c>
      <c r="D179" s="78" t="s">
        <v>197</v>
      </c>
      <c r="E179" s="78" t="s">
        <v>3</v>
      </c>
      <c r="F179" s="78" t="s">
        <v>16</v>
      </c>
    </row>
    <row r="180" spans="1:6" x14ac:dyDescent="0.2">
      <c r="A180" s="107" t="s">
        <v>28</v>
      </c>
      <c r="B180" s="107" t="s">
        <v>60</v>
      </c>
      <c r="C180" s="108">
        <v>16</v>
      </c>
      <c r="D180" s="90">
        <v>6</v>
      </c>
      <c r="E180" s="90">
        <f>SUM(C180:D180)</f>
        <v>22</v>
      </c>
      <c r="F180" s="114">
        <f t="shared" ref="F180" si="18">E180/146</f>
        <v>0.15068493150684931</v>
      </c>
    </row>
    <row r="183" spans="1:6" x14ac:dyDescent="0.2">
      <c r="A183" s="82" t="s">
        <v>11</v>
      </c>
      <c r="B183" s="82" t="s">
        <v>199</v>
      </c>
      <c r="C183" s="82" t="s">
        <v>200</v>
      </c>
      <c r="D183" s="5" t="s">
        <v>125</v>
      </c>
      <c r="E183" s="82" t="s">
        <v>3</v>
      </c>
      <c r="F183" s="82" t="s">
        <v>16</v>
      </c>
    </row>
    <row r="184" spans="1:6" x14ac:dyDescent="0.2">
      <c r="A184" s="83" t="s">
        <v>28</v>
      </c>
      <c r="B184" s="83" t="s">
        <v>145</v>
      </c>
      <c r="C184" s="84">
        <v>80</v>
      </c>
      <c r="D184" s="84">
        <v>13</v>
      </c>
      <c r="E184" s="84">
        <f>SUM(C184:D184)</f>
        <v>93</v>
      </c>
      <c r="F184" s="114">
        <f t="shared" ref="F184:F186" si="19">E184/146</f>
        <v>0.63698630136986301</v>
      </c>
    </row>
    <row r="185" spans="1:6" x14ac:dyDescent="0.2">
      <c r="A185" s="83" t="s">
        <v>28</v>
      </c>
      <c r="B185" s="83" t="s">
        <v>146</v>
      </c>
      <c r="C185" s="84">
        <v>34</v>
      </c>
      <c r="D185" s="84">
        <v>18</v>
      </c>
      <c r="E185" s="84">
        <f>SUM(C185:D185)</f>
        <v>52</v>
      </c>
      <c r="F185" s="114">
        <f t="shared" si="19"/>
        <v>0.35616438356164382</v>
      </c>
    </row>
    <row r="186" spans="1:6" x14ac:dyDescent="0.2">
      <c r="A186" s="83" t="s">
        <v>28</v>
      </c>
      <c r="B186" s="83" t="s">
        <v>148</v>
      </c>
      <c r="C186" s="84">
        <v>1</v>
      </c>
      <c r="D186" s="84">
        <v>0</v>
      </c>
      <c r="E186" s="84">
        <f>SUM(C186:D186)</f>
        <v>1</v>
      </c>
      <c r="F186" s="114">
        <f t="shared" si="19"/>
        <v>6.8493150684931503E-3</v>
      </c>
    </row>
    <row r="187" spans="1:6" x14ac:dyDescent="0.2">
      <c r="C187" s="90">
        <f>SUM(C184:C186)</f>
        <v>115</v>
      </c>
      <c r="D187" s="90">
        <f>SUM(D184:D186)</f>
        <v>31</v>
      </c>
      <c r="E187" s="90">
        <f>SUM(E184:E186)</f>
        <v>146</v>
      </c>
      <c r="F187" s="92">
        <f>SUM(F184:F186)</f>
        <v>1</v>
      </c>
    </row>
    <row r="188" spans="1:6" ht="24" x14ac:dyDescent="0.2">
      <c r="A188" s="12"/>
      <c r="B188" s="3" t="s">
        <v>204</v>
      </c>
      <c r="C188" s="12"/>
      <c r="D188" s="12"/>
      <c r="E188" s="12"/>
      <c r="F188" s="12"/>
    </row>
    <row r="189" spans="1:6" ht="24" x14ac:dyDescent="0.2">
      <c r="A189" s="85" t="s">
        <v>11</v>
      </c>
      <c r="B189" s="85" t="s">
        <v>205</v>
      </c>
      <c r="C189" s="85" t="s">
        <v>206</v>
      </c>
      <c r="D189" s="85" t="s">
        <v>207</v>
      </c>
      <c r="E189" s="5" t="s">
        <v>16</v>
      </c>
      <c r="F189" s="85" t="s">
        <v>208</v>
      </c>
    </row>
    <row r="190" spans="1:6" ht="15" x14ac:dyDescent="0.25">
      <c r="A190" s="149" t="s">
        <v>28</v>
      </c>
      <c r="B190" s="149" t="s">
        <v>226</v>
      </c>
      <c r="C190" s="150">
        <v>4</v>
      </c>
      <c r="D190" s="150">
        <v>97</v>
      </c>
      <c r="F190" s="150">
        <v>113</v>
      </c>
    </row>
    <row r="191" spans="1:6" ht="15" x14ac:dyDescent="0.25">
      <c r="A191" s="149" t="s">
        <v>28</v>
      </c>
      <c r="B191" s="149" t="s">
        <v>209</v>
      </c>
      <c r="C191" s="150">
        <v>6</v>
      </c>
      <c r="D191" s="150">
        <v>100</v>
      </c>
      <c r="F191" s="150">
        <v>112</v>
      </c>
    </row>
    <row r="192" spans="1:6" ht="15" x14ac:dyDescent="0.25">
      <c r="A192" s="149" t="s">
        <v>28</v>
      </c>
      <c r="B192" s="149" t="s">
        <v>210</v>
      </c>
      <c r="C192" s="150">
        <v>4</v>
      </c>
      <c r="D192" s="150">
        <v>138</v>
      </c>
      <c r="F192" s="150">
        <v>138</v>
      </c>
    </row>
    <row r="193" spans="1:6" ht="15" x14ac:dyDescent="0.25">
      <c r="A193" s="149" t="s">
        <v>28</v>
      </c>
      <c r="B193" s="149" t="s">
        <v>211</v>
      </c>
      <c r="C193" s="150">
        <v>2</v>
      </c>
      <c r="D193" s="150">
        <v>63</v>
      </c>
      <c r="F193" s="150">
        <v>70</v>
      </c>
    </row>
    <row r="194" spans="1:6" x14ac:dyDescent="0.2">
      <c r="F194" s="92"/>
    </row>
  </sheetData>
  <printOptions horizontalCentered="1"/>
  <pageMargins left="0.7" right="0.7" top="0.75" bottom="0.75" header="0.3" footer="0.3"/>
  <pageSetup orientation="portrait" horizontalDpi="4294967293" verticalDpi="4294967293" r:id="rId1"/>
  <headerFooter>
    <oddHeader>&amp;C&amp;"-,Bold"&amp;8AZ Balance of State
Continuum of Care
2018 Point In Time Data Report &amp;R&amp;"-,Bold"&amp;8&amp;P of &amp;N
&amp;D</oddHeader>
  </headerFooter>
  <rowBreaks count="4" manualBreakCount="4">
    <brk id="52" max="16383" man="1"/>
    <brk id="102" max="16383" man="1"/>
    <brk id="148" max="16383" man="1"/>
    <brk id="1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zoomScale="130" zoomScaleNormal="130" workbookViewId="0">
      <selection activeCell="C11" sqref="C11"/>
    </sheetView>
  </sheetViews>
  <sheetFormatPr defaultColWidth="9.140625" defaultRowHeight="12" x14ac:dyDescent="0.2"/>
  <cols>
    <col min="1" max="1" width="9.140625" style="90"/>
    <col min="2" max="2" width="18.5703125" style="90" customWidth="1"/>
    <col min="3" max="3" width="16" style="90" customWidth="1"/>
    <col min="4" max="4" width="12.28515625" style="90" customWidth="1"/>
    <col min="5" max="5" width="9.140625" style="90"/>
    <col min="6" max="6" width="12.28515625" style="90" customWidth="1"/>
    <col min="7" max="16384" width="9.140625" style="90"/>
  </cols>
  <sheetData>
    <row r="1" spans="1:4" x14ac:dyDescent="0.2">
      <c r="A1" s="88" t="s">
        <v>11</v>
      </c>
      <c r="B1" s="88" t="s">
        <v>175</v>
      </c>
      <c r="C1" s="91" t="s">
        <v>228</v>
      </c>
      <c r="D1" s="94" t="s">
        <v>253</v>
      </c>
    </row>
    <row r="2" spans="1:4" x14ac:dyDescent="0.2">
      <c r="A2" s="36" t="s">
        <v>29</v>
      </c>
      <c r="B2" s="37">
        <v>68</v>
      </c>
      <c r="C2" s="90">
        <v>15</v>
      </c>
      <c r="D2" s="90">
        <f>SUM(B2:C2)</f>
        <v>83</v>
      </c>
    </row>
    <row r="4" spans="1:4" x14ac:dyDescent="0.2">
      <c r="A4" s="88" t="s">
        <v>11</v>
      </c>
      <c r="B4" s="88" t="s">
        <v>30</v>
      </c>
      <c r="C4" s="88" t="s">
        <v>232</v>
      </c>
      <c r="D4" s="91" t="s">
        <v>16</v>
      </c>
    </row>
    <row r="5" spans="1:4" x14ac:dyDescent="0.2">
      <c r="A5" s="36" t="s">
        <v>29</v>
      </c>
      <c r="B5" s="36" t="s">
        <v>247</v>
      </c>
      <c r="C5" s="37">
        <v>4</v>
      </c>
      <c r="D5" s="92">
        <f>C5/68</f>
        <v>5.8823529411764705E-2</v>
      </c>
    </row>
    <row r="6" spans="1:4" x14ac:dyDescent="0.2">
      <c r="A6" s="36" t="s">
        <v>29</v>
      </c>
      <c r="B6" s="36" t="s">
        <v>248</v>
      </c>
      <c r="C6" s="37">
        <v>1</v>
      </c>
      <c r="D6" s="92">
        <f>C6/68</f>
        <v>1.4705882352941176E-2</v>
      </c>
    </row>
    <row r="7" spans="1:4" x14ac:dyDescent="0.2">
      <c r="A7" s="36" t="s">
        <v>29</v>
      </c>
      <c r="B7" s="36" t="s">
        <v>29</v>
      </c>
      <c r="C7" s="37">
        <v>63</v>
      </c>
      <c r="D7" s="92">
        <f>C7/68</f>
        <v>0.92647058823529416</v>
      </c>
    </row>
    <row r="8" spans="1:4" x14ac:dyDescent="0.2">
      <c r="C8" s="90">
        <f>SUM(C5:C7)</f>
        <v>68</v>
      </c>
      <c r="D8" s="92">
        <f>SUM(D5:D7)</f>
        <v>1</v>
      </c>
    </row>
    <row r="10" spans="1:4" x14ac:dyDescent="0.2">
      <c r="A10" s="38" t="s">
        <v>11</v>
      </c>
      <c r="B10" s="38" t="s">
        <v>36</v>
      </c>
      <c r="C10" s="38" t="s">
        <v>250</v>
      </c>
      <c r="D10" s="39" t="s">
        <v>16</v>
      </c>
    </row>
    <row r="11" spans="1:4" x14ac:dyDescent="0.2">
      <c r="A11" s="40" t="s">
        <v>29</v>
      </c>
      <c r="B11" s="40" t="s">
        <v>201</v>
      </c>
      <c r="C11" s="41">
        <v>58</v>
      </c>
      <c r="D11" s="92">
        <f t="shared" ref="D11:D15" si="0">C11/68</f>
        <v>0.8529411764705882</v>
      </c>
    </row>
    <row r="12" spans="1:4" x14ac:dyDescent="0.2">
      <c r="A12" s="40" t="s">
        <v>29</v>
      </c>
      <c r="B12" s="40" t="s">
        <v>39</v>
      </c>
      <c r="C12" s="41">
        <v>2</v>
      </c>
      <c r="D12" s="92">
        <f t="shared" si="0"/>
        <v>2.9411764705882353E-2</v>
      </c>
    </row>
    <row r="13" spans="1:4" ht="24" x14ac:dyDescent="0.2">
      <c r="A13" s="40" t="s">
        <v>29</v>
      </c>
      <c r="B13" s="40" t="s">
        <v>41</v>
      </c>
      <c r="C13" s="41">
        <v>6</v>
      </c>
      <c r="D13" s="92">
        <f t="shared" si="0"/>
        <v>8.8235294117647065E-2</v>
      </c>
    </row>
    <row r="14" spans="1:4" x14ac:dyDescent="0.2">
      <c r="A14" s="40" t="s">
        <v>29</v>
      </c>
      <c r="B14" s="40" t="s">
        <v>40</v>
      </c>
      <c r="C14" s="41">
        <v>1</v>
      </c>
      <c r="D14" s="92">
        <f t="shared" si="0"/>
        <v>1.4705882352941176E-2</v>
      </c>
    </row>
    <row r="15" spans="1:4" ht="24" x14ac:dyDescent="0.2">
      <c r="A15" s="40" t="s">
        <v>29</v>
      </c>
      <c r="B15" s="40" t="s">
        <v>42</v>
      </c>
      <c r="C15" s="41">
        <v>1</v>
      </c>
      <c r="D15" s="92">
        <f t="shared" si="0"/>
        <v>1.4705882352941176E-2</v>
      </c>
    </row>
    <row r="16" spans="1:4" x14ac:dyDescent="0.2">
      <c r="C16" s="90">
        <f>SUM(C11:C15)</f>
        <v>68</v>
      </c>
      <c r="D16" s="92">
        <f>SUM(D11:D15)</f>
        <v>0.99999999999999989</v>
      </c>
    </row>
    <row r="18" spans="1:4" x14ac:dyDescent="0.2">
      <c r="A18" s="93" t="s">
        <v>11</v>
      </c>
      <c r="B18" s="93" t="s">
        <v>44</v>
      </c>
      <c r="C18" s="93" t="s">
        <v>37</v>
      </c>
      <c r="D18" s="94" t="s">
        <v>16</v>
      </c>
    </row>
    <row r="19" spans="1:4" x14ac:dyDescent="0.2">
      <c r="A19" s="43" t="s">
        <v>29</v>
      </c>
      <c r="B19" s="43" t="s">
        <v>45</v>
      </c>
      <c r="C19" s="44">
        <v>4</v>
      </c>
      <c r="D19" s="92">
        <f t="shared" ref="D19:D25" si="1">C19/68</f>
        <v>5.8823529411764705E-2</v>
      </c>
    </row>
    <row r="20" spans="1:4" x14ac:dyDescent="0.2">
      <c r="A20" s="43" t="s">
        <v>29</v>
      </c>
      <c r="B20" s="43" t="s">
        <v>46</v>
      </c>
      <c r="C20" s="44">
        <v>10</v>
      </c>
      <c r="D20" s="92">
        <f t="shared" si="1"/>
        <v>0.14705882352941177</v>
      </c>
    </row>
    <row r="21" spans="1:4" x14ac:dyDescent="0.2">
      <c r="A21" s="43" t="s">
        <v>29</v>
      </c>
      <c r="B21" s="43" t="s">
        <v>47</v>
      </c>
      <c r="C21" s="44">
        <v>19</v>
      </c>
      <c r="D21" s="92">
        <f t="shared" si="1"/>
        <v>0.27941176470588236</v>
      </c>
    </row>
    <row r="22" spans="1:4" x14ac:dyDescent="0.2">
      <c r="A22" s="43" t="s">
        <v>29</v>
      </c>
      <c r="B22" s="43" t="s">
        <v>48</v>
      </c>
      <c r="C22" s="44">
        <v>9</v>
      </c>
      <c r="D22" s="92">
        <f t="shared" si="1"/>
        <v>0.13235294117647059</v>
      </c>
    </row>
    <row r="23" spans="1:4" x14ac:dyDescent="0.2">
      <c r="A23" s="43" t="s">
        <v>29</v>
      </c>
      <c r="B23" s="43" t="s">
        <v>49</v>
      </c>
      <c r="C23" s="44">
        <v>6</v>
      </c>
      <c r="D23" s="92">
        <f t="shared" si="1"/>
        <v>8.8235294117647065E-2</v>
      </c>
    </row>
    <row r="24" spans="1:4" x14ac:dyDescent="0.2">
      <c r="A24" s="43" t="s">
        <v>29</v>
      </c>
      <c r="B24" s="43" t="s">
        <v>51</v>
      </c>
      <c r="C24" s="44">
        <v>5</v>
      </c>
      <c r="D24" s="92">
        <f t="shared" si="1"/>
        <v>7.3529411764705885E-2</v>
      </c>
    </row>
    <row r="25" spans="1:4" x14ac:dyDescent="0.2">
      <c r="A25" s="43" t="s">
        <v>29</v>
      </c>
      <c r="B25" s="43" t="s">
        <v>52</v>
      </c>
      <c r="C25" s="44">
        <v>15</v>
      </c>
      <c r="D25" s="92">
        <f t="shared" si="1"/>
        <v>0.22058823529411764</v>
      </c>
    </row>
    <row r="26" spans="1:4" x14ac:dyDescent="0.2">
      <c r="C26" s="90">
        <f>SUM(C19:C25)</f>
        <v>68</v>
      </c>
      <c r="D26" s="92">
        <f>SUM(D19:D25)</f>
        <v>1</v>
      </c>
    </row>
    <row r="28" spans="1:4" ht="24" x14ac:dyDescent="0.2">
      <c r="A28" s="45" t="s">
        <v>11</v>
      </c>
      <c r="B28" s="45" t="s">
        <v>176</v>
      </c>
      <c r="C28" s="45" t="s">
        <v>37</v>
      </c>
      <c r="D28" s="5" t="s">
        <v>16</v>
      </c>
    </row>
    <row r="29" spans="1:4" x14ac:dyDescent="0.2">
      <c r="A29" s="46" t="s">
        <v>29</v>
      </c>
      <c r="B29" s="46" t="s">
        <v>54</v>
      </c>
      <c r="C29" s="47">
        <v>11</v>
      </c>
      <c r="D29" s="92">
        <f t="shared" ref="D29:D33" si="2">C29/68</f>
        <v>0.16176470588235295</v>
      </c>
    </row>
    <row r="30" spans="1:4" x14ac:dyDescent="0.2">
      <c r="A30" s="46" t="s">
        <v>29</v>
      </c>
      <c r="B30" s="46" t="s">
        <v>57</v>
      </c>
      <c r="C30" s="47">
        <v>14</v>
      </c>
      <c r="D30" s="92">
        <f t="shared" si="2"/>
        <v>0.20588235294117646</v>
      </c>
    </row>
    <row r="31" spans="1:4" x14ac:dyDescent="0.2">
      <c r="A31" s="46" t="s">
        <v>29</v>
      </c>
      <c r="B31" s="46" t="s">
        <v>53</v>
      </c>
      <c r="C31" s="47">
        <v>16</v>
      </c>
      <c r="D31" s="92">
        <f t="shared" si="2"/>
        <v>0.23529411764705882</v>
      </c>
    </row>
    <row r="32" spans="1:4" x14ac:dyDescent="0.2">
      <c r="A32" s="46" t="s">
        <v>29</v>
      </c>
      <c r="B32" s="46" t="s">
        <v>56</v>
      </c>
      <c r="C32" s="47">
        <v>25</v>
      </c>
      <c r="D32" s="92">
        <f t="shared" si="2"/>
        <v>0.36764705882352944</v>
      </c>
    </row>
    <row r="33" spans="1:4" x14ac:dyDescent="0.2">
      <c r="A33" s="46" t="s">
        <v>29</v>
      </c>
      <c r="B33" s="46" t="s">
        <v>58</v>
      </c>
      <c r="C33" s="47">
        <v>2</v>
      </c>
      <c r="D33" s="92">
        <f t="shared" si="2"/>
        <v>2.9411764705882353E-2</v>
      </c>
    </row>
    <row r="34" spans="1:4" x14ac:dyDescent="0.2">
      <c r="C34" s="90">
        <f>SUM(C29:C33)</f>
        <v>68</v>
      </c>
      <c r="D34" s="92">
        <f>SUM(D29:D33)</f>
        <v>1</v>
      </c>
    </row>
    <row r="36" spans="1:4" ht="24" x14ac:dyDescent="0.2">
      <c r="A36" s="48" t="s">
        <v>11</v>
      </c>
      <c r="B36" s="48" t="s">
        <v>177</v>
      </c>
      <c r="C36" s="48" t="s">
        <v>37</v>
      </c>
      <c r="D36" s="5" t="s">
        <v>16</v>
      </c>
    </row>
    <row r="37" spans="1:4" x14ac:dyDescent="0.2">
      <c r="A37" s="49" t="s">
        <v>29</v>
      </c>
      <c r="B37" s="49" t="s">
        <v>178</v>
      </c>
      <c r="C37" s="50">
        <v>3</v>
      </c>
      <c r="D37" s="92">
        <f t="shared" ref="D37:D43" si="3">C37/68</f>
        <v>4.4117647058823532E-2</v>
      </c>
    </row>
    <row r="38" spans="1:4" x14ac:dyDescent="0.2">
      <c r="A38" s="49" t="s">
        <v>29</v>
      </c>
      <c r="B38" s="49" t="s">
        <v>179</v>
      </c>
      <c r="C38" s="50">
        <v>2</v>
      </c>
      <c r="D38" s="92">
        <f t="shared" si="3"/>
        <v>2.9411764705882353E-2</v>
      </c>
    </row>
    <row r="39" spans="1:4" x14ac:dyDescent="0.2">
      <c r="A39" s="49" t="s">
        <v>29</v>
      </c>
      <c r="B39" s="49" t="s">
        <v>180</v>
      </c>
      <c r="C39" s="50">
        <v>2</v>
      </c>
      <c r="D39" s="92">
        <f t="shared" si="3"/>
        <v>2.9411764705882353E-2</v>
      </c>
    </row>
    <row r="40" spans="1:4" x14ac:dyDescent="0.2">
      <c r="A40" s="49" t="s">
        <v>29</v>
      </c>
      <c r="B40" s="49" t="s">
        <v>181</v>
      </c>
      <c r="C40" s="50">
        <v>3</v>
      </c>
      <c r="D40" s="92">
        <f t="shared" si="3"/>
        <v>4.4117647058823532E-2</v>
      </c>
    </row>
    <row r="41" spans="1:4" ht="24" x14ac:dyDescent="0.2">
      <c r="A41" s="49" t="s">
        <v>29</v>
      </c>
      <c r="B41" s="49" t="s">
        <v>214</v>
      </c>
      <c r="C41" s="50">
        <v>2</v>
      </c>
      <c r="D41" s="92">
        <f t="shared" si="3"/>
        <v>2.9411764705882353E-2</v>
      </c>
    </row>
    <row r="42" spans="1:4" x14ac:dyDescent="0.2">
      <c r="A42" s="49" t="s">
        <v>29</v>
      </c>
      <c r="B42" s="49" t="s">
        <v>182</v>
      </c>
      <c r="C42" s="50">
        <v>18</v>
      </c>
      <c r="D42" s="92">
        <f t="shared" si="3"/>
        <v>0.26470588235294118</v>
      </c>
    </row>
    <row r="43" spans="1:4" x14ac:dyDescent="0.2">
      <c r="A43" s="49" t="s">
        <v>29</v>
      </c>
      <c r="B43" s="49" t="s">
        <v>215</v>
      </c>
      <c r="C43" s="50">
        <v>38</v>
      </c>
      <c r="D43" s="92">
        <f t="shared" si="3"/>
        <v>0.55882352941176472</v>
      </c>
    </row>
    <row r="44" spans="1:4" x14ac:dyDescent="0.2">
      <c r="C44" s="90">
        <f>SUM(C37:C43)</f>
        <v>68</v>
      </c>
      <c r="D44" s="92">
        <f>SUM(D37:D43)</f>
        <v>1</v>
      </c>
    </row>
    <row r="46" spans="1:4" x14ac:dyDescent="0.2">
      <c r="A46" s="34" t="s">
        <v>11</v>
      </c>
      <c r="B46" s="34" t="s">
        <v>183</v>
      </c>
      <c r="C46" s="34" t="s">
        <v>37</v>
      </c>
      <c r="D46" s="5" t="s">
        <v>16</v>
      </c>
    </row>
    <row r="47" spans="1:4" x14ac:dyDescent="0.2">
      <c r="A47" s="36" t="s">
        <v>29</v>
      </c>
      <c r="B47" s="36" t="s">
        <v>60</v>
      </c>
      <c r="C47" s="37">
        <v>37</v>
      </c>
      <c r="D47" s="92">
        <f t="shared" ref="D47" si="4">C47/68</f>
        <v>0.54411764705882348</v>
      </c>
    </row>
    <row r="49" spans="1:4" x14ac:dyDescent="0.2">
      <c r="A49" s="34" t="s">
        <v>11</v>
      </c>
      <c r="B49" s="34" t="s">
        <v>61</v>
      </c>
      <c r="C49" s="34" t="s">
        <v>37</v>
      </c>
      <c r="D49" s="5" t="s">
        <v>16</v>
      </c>
    </row>
    <row r="50" spans="1:4" x14ac:dyDescent="0.2">
      <c r="A50" s="36" t="s">
        <v>29</v>
      </c>
      <c r="B50" s="36" t="s">
        <v>216</v>
      </c>
      <c r="C50" s="37">
        <v>7</v>
      </c>
      <c r="D50" s="92">
        <f t="shared" ref="D50:D54" si="5">C50/68</f>
        <v>0.10294117647058823</v>
      </c>
    </row>
    <row r="51" spans="1:4" x14ac:dyDescent="0.2">
      <c r="A51" s="36" t="s">
        <v>29</v>
      </c>
      <c r="B51" s="36" t="s">
        <v>184</v>
      </c>
      <c r="C51" s="37">
        <v>1</v>
      </c>
      <c r="D51" s="92">
        <f t="shared" si="5"/>
        <v>1.4705882352941176E-2</v>
      </c>
    </row>
    <row r="52" spans="1:4" x14ac:dyDescent="0.2">
      <c r="A52" s="36" t="s">
        <v>29</v>
      </c>
      <c r="B52" s="36" t="s">
        <v>185</v>
      </c>
      <c r="C52" s="37">
        <v>5</v>
      </c>
      <c r="D52" s="92">
        <f t="shared" si="5"/>
        <v>7.3529411764705885E-2</v>
      </c>
    </row>
    <row r="53" spans="1:4" x14ac:dyDescent="0.2">
      <c r="A53" s="36" t="s">
        <v>29</v>
      </c>
      <c r="B53" s="36" t="s">
        <v>217</v>
      </c>
      <c r="C53" s="37">
        <v>1</v>
      </c>
      <c r="D53" s="92">
        <f t="shared" si="5"/>
        <v>1.4705882352941176E-2</v>
      </c>
    </row>
    <row r="54" spans="1:4" x14ac:dyDescent="0.2">
      <c r="A54" s="36" t="s">
        <v>29</v>
      </c>
      <c r="B54" s="36" t="s">
        <v>33</v>
      </c>
      <c r="C54" s="37">
        <v>17</v>
      </c>
      <c r="D54" s="92">
        <f t="shared" si="5"/>
        <v>0.25</v>
      </c>
    </row>
    <row r="55" spans="1:4" x14ac:dyDescent="0.2">
      <c r="C55" s="90">
        <f>SUM(C50:C54)</f>
        <v>31</v>
      </c>
      <c r="D55" s="92">
        <f>SUM(D50:D54)</f>
        <v>0.45588235294117646</v>
      </c>
    </row>
    <row r="56" spans="1:4" x14ac:dyDescent="0.2">
      <c r="B56" s="24" t="s">
        <v>63</v>
      </c>
    </row>
    <row r="57" spans="1:4" x14ac:dyDescent="0.2">
      <c r="A57" s="42" t="s">
        <v>11</v>
      </c>
      <c r="B57" s="42" t="s">
        <v>64</v>
      </c>
      <c r="C57" s="42" t="s">
        <v>186</v>
      </c>
      <c r="D57" s="5" t="s">
        <v>16</v>
      </c>
    </row>
    <row r="58" spans="1:4" ht="24" x14ac:dyDescent="0.2">
      <c r="A58" s="43" t="s">
        <v>29</v>
      </c>
      <c r="B58" s="43" t="s">
        <v>65</v>
      </c>
      <c r="C58" s="44">
        <v>5</v>
      </c>
      <c r="D58" s="92">
        <f>C58/49</f>
        <v>0.10204081632653061</v>
      </c>
    </row>
    <row r="59" spans="1:4" ht="24" x14ac:dyDescent="0.2">
      <c r="A59" s="43" t="s">
        <v>29</v>
      </c>
      <c r="B59" s="43" t="s">
        <v>74</v>
      </c>
      <c r="C59" s="44">
        <v>5</v>
      </c>
      <c r="D59" s="92">
        <f t="shared" ref="D59:D69" si="6">C59/49</f>
        <v>0.10204081632653061</v>
      </c>
    </row>
    <row r="60" spans="1:4" ht="24" x14ac:dyDescent="0.2">
      <c r="A60" s="43" t="s">
        <v>29</v>
      </c>
      <c r="B60" s="43" t="s">
        <v>75</v>
      </c>
      <c r="C60" s="44">
        <v>1</v>
      </c>
      <c r="D60" s="92">
        <f t="shared" si="6"/>
        <v>2.0408163265306121E-2</v>
      </c>
    </row>
    <row r="61" spans="1:4" x14ac:dyDescent="0.2">
      <c r="A61" s="43" t="s">
        <v>29</v>
      </c>
      <c r="B61" s="43" t="s">
        <v>76</v>
      </c>
      <c r="C61" s="44">
        <v>6</v>
      </c>
      <c r="D61" s="92">
        <f t="shared" si="6"/>
        <v>0.12244897959183673</v>
      </c>
    </row>
    <row r="62" spans="1:4" x14ac:dyDescent="0.2">
      <c r="A62" s="43" t="s">
        <v>29</v>
      </c>
      <c r="B62" s="43" t="s">
        <v>77</v>
      </c>
      <c r="C62" s="44">
        <v>1</v>
      </c>
      <c r="D62" s="92">
        <f t="shared" si="6"/>
        <v>2.0408163265306121E-2</v>
      </c>
    </row>
    <row r="63" spans="1:4" x14ac:dyDescent="0.2">
      <c r="A63" s="43" t="s">
        <v>29</v>
      </c>
      <c r="B63" s="43" t="s">
        <v>66</v>
      </c>
      <c r="C63" s="44">
        <v>2</v>
      </c>
      <c r="D63" s="92">
        <f t="shared" si="6"/>
        <v>4.0816326530612242E-2</v>
      </c>
    </row>
    <row r="64" spans="1:4" x14ac:dyDescent="0.2">
      <c r="A64" s="43" t="s">
        <v>29</v>
      </c>
      <c r="B64" s="43" t="s">
        <v>67</v>
      </c>
      <c r="C64" s="44">
        <v>1</v>
      </c>
      <c r="D64" s="92">
        <f t="shared" si="6"/>
        <v>2.0408163265306121E-2</v>
      </c>
    </row>
    <row r="65" spans="1:4" x14ac:dyDescent="0.2">
      <c r="A65" s="43" t="s">
        <v>29</v>
      </c>
      <c r="B65" s="43" t="s">
        <v>68</v>
      </c>
      <c r="C65" s="44">
        <v>13</v>
      </c>
      <c r="D65" s="92">
        <f t="shared" si="6"/>
        <v>0.26530612244897961</v>
      </c>
    </row>
    <row r="66" spans="1:4" ht="24" x14ac:dyDescent="0.2">
      <c r="A66" s="43" t="s">
        <v>29</v>
      </c>
      <c r="B66" s="43" t="s">
        <v>69</v>
      </c>
      <c r="C66" s="44">
        <v>2</v>
      </c>
      <c r="D66" s="92">
        <f t="shared" si="6"/>
        <v>4.0816326530612242E-2</v>
      </c>
    </row>
    <row r="67" spans="1:4" ht="24" x14ac:dyDescent="0.2">
      <c r="A67" s="43" t="s">
        <v>29</v>
      </c>
      <c r="B67" s="43" t="s">
        <v>70</v>
      </c>
      <c r="C67" s="44">
        <v>2</v>
      </c>
      <c r="D67" s="92">
        <f t="shared" si="6"/>
        <v>4.0816326530612242E-2</v>
      </c>
    </row>
    <row r="68" spans="1:4" x14ac:dyDescent="0.2">
      <c r="A68" s="43" t="s">
        <v>29</v>
      </c>
      <c r="B68" s="43" t="s">
        <v>71</v>
      </c>
      <c r="C68" s="44">
        <v>3</v>
      </c>
      <c r="D68" s="92">
        <f t="shared" si="6"/>
        <v>6.1224489795918366E-2</v>
      </c>
    </row>
    <row r="69" spans="1:4" ht="24" x14ac:dyDescent="0.2">
      <c r="A69" s="43" t="s">
        <v>29</v>
      </c>
      <c r="B69" s="43" t="s">
        <v>72</v>
      </c>
      <c r="C69" s="44">
        <v>8</v>
      </c>
      <c r="D69" s="92">
        <f t="shared" si="6"/>
        <v>0.16326530612244897</v>
      </c>
    </row>
    <row r="70" spans="1:4" x14ac:dyDescent="0.2">
      <c r="C70" s="90">
        <f>SUM(C58:C69)</f>
        <v>49</v>
      </c>
      <c r="D70" s="92">
        <f>SUM(D58:D69)</f>
        <v>1.0000000000000002</v>
      </c>
    </row>
    <row r="72" spans="1:4" x14ac:dyDescent="0.2">
      <c r="B72" s="24" t="s">
        <v>63</v>
      </c>
    </row>
    <row r="73" spans="1:4" x14ac:dyDescent="0.2">
      <c r="A73" s="95" t="s">
        <v>11</v>
      </c>
      <c r="B73" s="95" t="s">
        <v>187</v>
      </c>
      <c r="C73" s="95" t="s">
        <v>37</v>
      </c>
      <c r="D73" s="94" t="s">
        <v>16</v>
      </c>
    </row>
    <row r="74" spans="1:4" x14ac:dyDescent="0.2">
      <c r="A74" s="46" t="s">
        <v>29</v>
      </c>
      <c r="B74" s="46" t="s">
        <v>174</v>
      </c>
      <c r="C74" s="47">
        <v>15</v>
      </c>
      <c r="D74" s="92">
        <f>C74/86</f>
        <v>0.1744186046511628</v>
      </c>
    </row>
    <row r="75" spans="1:4" x14ac:dyDescent="0.2">
      <c r="A75" s="46" t="s">
        <v>29</v>
      </c>
      <c r="B75" s="46" t="s">
        <v>81</v>
      </c>
      <c r="C75" s="47">
        <v>15</v>
      </c>
      <c r="D75" s="92">
        <f>C75/86</f>
        <v>0.1744186046511628</v>
      </c>
    </row>
    <row r="76" spans="1:4" x14ac:dyDescent="0.2">
      <c r="A76" s="46" t="s">
        <v>29</v>
      </c>
      <c r="B76" s="46" t="s">
        <v>82</v>
      </c>
      <c r="C76" s="47">
        <v>28</v>
      </c>
      <c r="D76" s="92">
        <f>C76/86</f>
        <v>0.32558139534883723</v>
      </c>
    </row>
    <row r="77" spans="1:4" ht="24" x14ac:dyDescent="0.2">
      <c r="A77" s="46" t="s">
        <v>29</v>
      </c>
      <c r="B77" s="46" t="s">
        <v>83</v>
      </c>
      <c r="C77" s="47">
        <v>18</v>
      </c>
      <c r="D77" s="92">
        <f>C77/86</f>
        <v>0.20930232558139536</v>
      </c>
    </row>
    <row r="78" spans="1:4" x14ac:dyDescent="0.2">
      <c r="A78" s="46" t="s">
        <v>29</v>
      </c>
      <c r="B78" s="46" t="s">
        <v>84</v>
      </c>
      <c r="C78" s="47">
        <v>10</v>
      </c>
      <c r="D78" s="92">
        <f>C78/86</f>
        <v>0.11627906976744186</v>
      </c>
    </row>
    <row r="79" spans="1:4" x14ac:dyDescent="0.2">
      <c r="C79" s="90">
        <f>SUM(C74:C78)</f>
        <v>86</v>
      </c>
      <c r="D79" s="92">
        <f>SUM(D74:D78)</f>
        <v>1.0000000000000002</v>
      </c>
    </row>
    <row r="81" spans="1:4" x14ac:dyDescent="0.2">
      <c r="B81" s="24" t="s">
        <v>63</v>
      </c>
    </row>
    <row r="82" spans="1:4" x14ac:dyDescent="0.2">
      <c r="A82" s="96" t="s">
        <v>11</v>
      </c>
      <c r="B82" s="96" t="s">
        <v>87</v>
      </c>
      <c r="C82" s="96" t="s">
        <v>37</v>
      </c>
      <c r="D82" s="94" t="s">
        <v>16</v>
      </c>
    </row>
    <row r="83" spans="1:4" x14ac:dyDescent="0.2">
      <c r="A83" s="49" t="s">
        <v>29</v>
      </c>
      <c r="B83" s="49" t="s">
        <v>88</v>
      </c>
      <c r="C83" s="50">
        <v>11</v>
      </c>
      <c r="D83" s="92">
        <f>C83/55</f>
        <v>0.2</v>
      </c>
    </row>
    <row r="84" spans="1:4" x14ac:dyDescent="0.2">
      <c r="A84" s="49" t="s">
        <v>29</v>
      </c>
      <c r="B84" s="49" t="s">
        <v>89</v>
      </c>
      <c r="C84" s="50">
        <v>2</v>
      </c>
      <c r="D84" s="92">
        <f t="shared" ref="D84:D90" si="7">C84/55</f>
        <v>3.6363636363636362E-2</v>
      </c>
    </row>
    <row r="85" spans="1:4" ht="24" x14ac:dyDescent="0.2">
      <c r="A85" s="49" t="s">
        <v>29</v>
      </c>
      <c r="B85" s="49" t="s">
        <v>90</v>
      </c>
      <c r="C85" s="50">
        <v>10</v>
      </c>
      <c r="D85" s="92">
        <f t="shared" si="7"/>
        <v>0.18181818181818182</v>
      </c>
    </row>
    <row r="86" spans="1:4" x14ac:dyDescent="0.2">
      <c r="A86" s="49" t="s">
        <v>29</v>
      </c>
      <c r="B86" s="49" t="s">
        <v>91</v>
      </c>
      <c r="C86" s="50">
        <v>15</v>
      </c>
      <c r="D86" s="92">
        <f t="shared" si="7"/>
        <v>0.27272727272727271</v>
      </c>
    </row>
    <row r="87" spans="1:4" ht="24" x14ac:dyDescent="0.2">
      <c r="A87" s="49" t="s">
        <v>29</v>
      </c>
      <c r="B87" s="49" t="s">
        <v>92</v>
      </c>
      <c r="C87" s="50">
        <v>6</v>
      </c>
      <c r="D87" s="92">
        <f t="shared" si="7"/>
        <v>0.10909090909090909</v>
      </c>
    </row>
    <row r="88" spans="1:4" x14ac:dyDescent="0.2">
      <c r="A88" s="49" t="s">
        <v>29</v>
      </c>
      <c r="B88" s="49" t="s">
        <v>93</v>
      </c>
      <c r="C88" s="50">
        <v>7</v>
      </c>
      <c r="D88" s="92">
        <f t="shared" si="7"/>
        <v>0.12727272727272726</v>
      </c>
    </row>
    <row r="89" spans="1:4" x14ac:dyDescent="0.2">
      <c r="A89" s="49" t="s">
        <v>29</v>
      </c>
      <c r="B89" s="49" t="s">
        <v>94</v>
      </c>
      <c r="C89" s="50">
        <v>1</v>
      </c>
      <c r="D89" s="92">
        <f t="shared" si="7"/>
        <v>1.8181818181818181E-2</v>
      </c>
    </row>
    <row r="90" spans="1:4" x14ac:dyDescent="0.2">
      <c r="A90" s="49" t="s">
        <v>29</v>
      </c>
      <c r="B90" s="49" t="s">
        <v>95</v>
      </c>
      <c r="C90" s="50">
        <v>3</v>
      </c>
      <c r="D90" s="92">
        <f t="shared" si="7"/>
        <v>5.4545454545454543E-2</v>
      </c>
    </row>
    <row r="91" spans="1:4" x14ac:dyDescent="0.2">
      <c r="C91" s="90">
        <f>SUM(C83:C90)</f>
        <v>55</v>
      </c>
      <c r="D91" s="92">
        <f>SUM(D83:D90)</f>
        <v>1</v>
      </c>
    </row>
    <row r="93" spans="1:4" x14ac:dyDescent="0.2">
      <c r="B93" s="24" t="s">
        <v>63</v>
      </c>
    </row>
    <row r="94" spans="1:4" x14ac:dyDescent="0.2">
      <c r="A94" s="97" t="s">
        <v>11</v>
      </c>
      <c r="B94" s="97" t="s">
        <v>188</v>
      </c>
      <c r="C94" s="97" t="s">
        <v>37</v>
      </c>
      <c r="D94" s="94" t="s">
        <v>16</v>
      </c>
    </row>
    <row r="95" spans="1:4" ht="24" x14ac:dyDescent="0.2">
      <c r="A95" s="52" t="s">
        <v>29</v>
      </c>
      <c r="B95" s="52" t="s">
        <v>98</v>
      </c>
      <c r="C95" s="53">
        <v>15</v>
      </c>
      <c r="D95" s="92">
        <f>C95/87</f>
        <v>0.17241379310344829</v>
      </c>
    </row>
    <row r="96" spans="1:4" ht="24" x14ac:dyDescent="0.2">
      <c r="A96" s="52" t="s">
        <v>29</v>
      </c>
      <c r="B96" s="52" t="s">
        <v>99</v>
      </c>
      <c r="C96" s="53">
        <v>14</v>
      </c>
      <c r="D96" s="92">
        <f t="shared" ref="D96:D102" si="8">C96/87</f>
        <v>0.16091954022988506</v>
      </c>
    </row>
    <row r="97" spans="1:5" ht="24" x14ac:dyDescent="0.2">
      <c r="A97" s="52" t="s">
        <v>29</v>
      </c>
      <c r="B97" s="52" t="s">
        <v>100</v>
      </c>
      <c r="C97" s="53">
        <v>7</v>
      </c>
      <c r="D97" s="92">
        <f t="shared" si="8"/>
        <v>8.0459770114942528E-2</v>
      </c>
    </row>
    <row r="98" spans="1:5" ht="24" x14ac:dyDescent="0.2">
      <c r="A98" s="52" t="s">
        <v>29</v>
      </c>
      <c r="B98" s="52" t="s">
        <v>101</v>
      </c>
      <c r="C98" s="53">
        <v>7</v>
      </c>
      <c r="D98" s="92">
        <f t="shared" si="8"/>
        <v>8.0459770114942528E-2</v>
      </c>
    </row>
    <row r="99" spans="1:5" ht="24" x14ac:dyDescent="0.2">
      <c r="A99" s="52" t="s">
        <v>29</v>
      </c>
      <c r="B99" s="52" t="s">
        <v>102</v>
      </c>
      <c r="C99" s="53">
        <v>18</v>
      </c>
      <c r="D99" s="92">
        <f t="shared" si="8"/>
        <v>0.20689655172413793</v>
      </c>
    </row>
    <row r="100" spans="1:5" ht="24" x14ac:dyDescent="0.2">
      <c r="A100" s="52" t="s">
        <v>29</v>
      </c>
      <c r="B100" s="52" t="s">
        <v>103</v>
      </c>
      <c r="C100" s="53">
        <v>15</v>
      </c>
      <c r="D100" s="92">
        <f t="shared" si="8"/>
        <v>0.17241379310344829</v>
      </c>
    </row>
    <row r="101" spans="1:5" ht="24" x14ac:dyDescent="0.2">
      <c r="A101" s="52" t="s">
        <v>29</v>
      </c>
      <c r="B101" s="52" t="s">
        <v>104</v>
      </c>
      <c r="C101" s="53">
        <v>10</v>
      </c>
      <c r="D101" s="92">
        <f t="shared" si="8"/>
        <v>0.11494252873563218</v>
      </c>
    </row>
    <row r="102" spans="1:5" x14ac:dyDescent="0.2">
      <c r="A102" s="52" t="s">
        <v>29</v>
      </c>
      <c r="B102" s="52" t="s">
        <v>105</v>
      </c>
      <c r="C102" s="53">
        <v>1</v>
      </c>
      <c r="D102" s="92">
        <f t="shared" si="8"/>
        <v>1.1494252873563218E-2</v>
      </c>
    </row>
    <row r="103" spans="1:5" x14ac:dyDescent="0.2">
      <c r="C103" s="90">
        <f>SUM(C95:C102)</f>
        <v>87</v>
      </c>
      <c r="D103" s="92">
        <f>SUM(D95:D102)</f>
        <v>1</v>
      </c>
    </row>
    <row r="105" spans="1:5" ht="24" x14ac:dyDescent="0.2">
      <c r="A105" s="54" t="s">
        <v>11</v>
      </c>
      <c r="B105" s="54" t="s">
        <v>202</v>
      </c>
      <c r="C105" s="5" t="s">
        <v>203</v>
      </c>
      <c r="D105" s="94" t="s">
        <v>3</v>
      </c>
      <c r="E105" s="5" t="s">
        <v>10</v>
      </c>
    </row>
    <row r="106" spans="1:5" x14ac:dyDescent="0.2">
      <c r="A106" s="90" t="s">
        <v>29</v>
      </c>
      <c r="B106" s="90">
        <v>37</v>
      </c>
      <c r="C106" s="90">
        <v>2</v>
      </c>
      <c r="D106" s="90">
        <v>39</v>
      </c>
      <c r="E106" s="90">
        <v>2</v>
      </c>
    </row>
    <row r="108" spans="1:5" ht="24" x14ac:dyDescent="0.2">
      <c r="A108" s="55" t="s">
        <v>11</v>
      </c>
      <c r="B108" s="55" t="s">
        <v>189</v>
      </c>
      <c r="C108" s="56" t="s">
        <v>37</v>
      </c>
      <c r="D108" s="5" t="s">
        <v>16</v>
      </c>
    </row>
    <row r="109" spans="1:5" x14ac:dyDescent="0.2">
      <c r="A109" s="57" t="s">
        <v>29</v>
      </c>
      <c r="B109" s="57" t="s">
        <v>60</v>
      </c>
      <c r="C109" s="58">
        <v>30</v>
      </c>
      <c r="D109" s="92">
        <f>C109/68</f>
        <v>0.44117647058823528</v>
      </c>
    </row>
    <row r="111" spans="1:5" ht="24" x14ac:dyDescent="0.2">
      <c r="A111" s="59" t="s">
        <v>11</v>
      </c>
      <c r="B111" s="59" t="s">
        <v>190</v>
      </c>
      <c r="C111" s="59" t="s">
        <v>37</v>
      </c>
      <c r="D111" s="5" t="s">
        <v>221</v>
      </c>
      <c r="E111" s="5" t="s">
        <v>3</v>
      </c>
    </row>
    <row r="112" spans="1:5" x14ac:dyDescent="0.2">
      <c r="A112" s="60" t="s">
        <v>29</v>
      </c>
      <c r="B112" s="60" t="s">
        <v>60</v>
      </c>
      <c r="C112" s="61">
        <v>8</v>
      </c>
      <c r="D112" s="90">
        <v>2</v>
      </c>
      <c r="E112" s="90">
        <v>10</v>
      </c>
    </row>
    <row r="115" spans="1:4" ht="24" x14ac:dyDescent="0.2">
      <c r="A115" s="62" t="s">
        <v>11</v>
      </c>
      <c r="B115" s="62" t="s">
        <v>191</v>
      </c>
      <c r="C115" s="62" t="s">
        <v>37</v>
      </c>
      <c r="D115" s="5" t="s">
        <v>16</v>
      </c>
    </row>
    <row r="116" spans="1:4" x14ac:dyDescent="0.2">
      <c r="A116" s="63" t="s">
        <v>29</v>
      </c>
      <c r="B116" s="63" t="s">
        <v>60</v>
      </c>
      <c r="C116" s="64">
        <v>14</v>
      </c>
      <c r="D116" s="92">
        <f>C116/68</f>
        <v>0.20588235294117646</v>
      </c>
    </row>
    <row r="118" spans="1:4" ht="36" x14ac:dyDescent="0.2">
      <c r="A118" s="98" t="s">
        <v>11</v>
      </c>
      <c r="B118" s="98" t="s">
        <v>222</v>
      </c>
      <c r="C118" s="98" t="s">
        <v>37</v>
      </c>
      <c r="D118" s="5" t="s">
        <v>223</v>
      </c>
    </row>
    <row r="119" spans="1:4" x14ac:dyDescent="0.2">
      <c r="A119" s="99" t="s">
        <v>29</v>
      </c>
      <c r="B119" s="99" t="s">
        <v>60</v>
      </c>
      <c r="C119" s="100">
        <v>4</v>
      </c>
      <c r="D119" s="92">
        <f>C119/C116</f>
        <v>0.2857142857142857</v>
      </c>
    </row>
    <row r="121" spans="1:4" x14ac:dyDescent="0.2">
      <c r="A121" s="65" t="s">
        <v>11</v>
      </c>
      <c r="B121" s="65" t="s">
        <v>192</v>
      </c>
      <c r="C121" s="65" t="s">
        <v>37</v>
      </c>
      <c r="D121" s="5" t="s">
        <v>16</v>
      </c>
    </row>
    <row r="122" spans="1:4" x14ac:dyDescent="0.2">
      <c r="A122" s="66" t="s">
        <v>29</v>
      </c>
      <c r="B122" s="66" t="s">
        <v>60</v>
      </c>
      <c r="C122" s="67">
        <v>10</v>
      </c>
      <c r="D122" s="92">
        <f>C122/68</f>
        <v>0.14705882352941177</v>
      </c>
    </row>
    <row r="124" spans="1:4" ht="42.75" customHeight="1" x14ac:dyDescent="0.2">
      <c r="A124" s="65" t="s">
        <v>11</v>
      </c>
      <c r="B124" s="65" t="s">
        <v>224</v>
      </c>
      <c r="C124" s="65" t="s">
        <v>37</v>
      </c>
      <c r="D124" s="5" t="s">
        <v>225</v>
      </c>
    </row>
    <row r="125" spans="1:4" x14ac:dyDescent="0.2">
      <c r="A125" s="66" t="s">
        <v>29</v>
      </c>
      <c r="B125" s="66" t="s">
        <v>114</v>
      </c>
      <c r="C125" s="67">
        <v>3</v>
      </c>
      <c r="D125" s="92">
        <f>C125/10</f>
        <v>0.3</v>
      </c>
    </row>
    <row r="126" spans="1:4" x14ac:dyDescent="0.2">
      <c r="A126" s="66" t="s">
        <v>29</v>
      </c>
      <c r="B126" s="66" t="s">
        <v>115</v>
      </c>
      <c r="C126" s="67">
        <v>4</v>
      </c>
      <c r="D126" s="92">
        <f>C126/10</f>
        <v>0.4</v>
      </c>
    </row>
    <row r="127" spans="1:4" x14ac:dyDescent="0.2">
      <c r="A127" s="66" t="s">
        <v>29</v>
      </c>
      <c r="B127" s="66" t="s">
        <v>33</v>
      </c>
      <c r="C127" s="67">
        <v>3</v>
      </c>
      <c r="D127" s="92">
        <f>C127/10</f>
        <v>0.3</v>
      </c>
    </row>
    <row r="128" spans="1:4" x14ac:dyDescent="0.2">
      <c r="A128" s="66"/>
      <c r="B128" s="66"/>
      <c r="C128" s="67"/>
      <c r="D128" s="92">
        <f>SUM(D125:D127)</f>
        <v>1</v>
      </c>
    </row>
    <row r="129" spans="1:6" ht="24" x14ac:dyDescent="0.2">
      <c r="A129" s="101" t="s">
        <v>11</v>
      </c>
      <c r="B129" s="101" t="s">
        <v>251</v>
      </c>
      <c r="C129" s="5" t="s">
        <v>16</v>
      </c>
    </row>
    <row r="130" spans="1:6" x14ac:dyDescent="0.2">
      <c r="A130" s="102" t="s">
        <v>29</v>
      </c>
      <c r="B130" s="103">
        <v>34</v>
      </c>
      <c r="C130" s="92">
        <f>B130/68</f>
        <v>0.5</v>
      </c>
    </row>
    <row r="131" spans="1:6" x14ac:dyDescent="0.2">
      <c r="B131" s="104"/>
    </row>
    <row r="132" spans="1:6" ht="24" x14ac:dyDescent="0.2">
      <c r="A132" s="68" t="s">
        <v>11</v>
      </c>
      <c r="B132" s="68" t="s">
        <v>193</v>
      </c>
      <c r="C132" s="68" t="s">
        <v>37</v>
      </c>
      <c r="D132" s="5" t="s">
        <v>254</v>
      </c>
    </row>
    <row r="133" spans="1:6" x14ac:dyDescent="0.2">
      <c r="A133" s="69" t="s">
        <v>29</v>
      </c>
      <c r="B133" s="69" t="s">
        <v>117</v>
      </c>
      <c r="C133" s="70">
        <v>10</v>
      </c>
      <c r="D133" s="92">
        <f>C133/34</f>
        <v>0.29411764705882354</v>
      </c>
    </row>
    <row r="134" spans="1:6" x14ac:dyDescent="0.2">
      <c r="A134" s="69" t="s">
        <v>29</v>
      </c>
      <c r="B134" s="69" t="s">
        <v>118</v>
      </c>
      <c r="C134" s="70">
        <v>12</v>
      </c>
      <c r="D134" s="92">
        <f>C134/34</f>
        <v>0.35294117647058826</v>
      </c>
    </row>
    <row r="135" spans="1:6" x14ac:dyDescent="0.2">
      <c r="A135" s="69" t="s">
        <v>29</v>
      </c>
      <c r="B135" s="69" t="s">
        <v>119</v>
      </c>
      <c r="C135" s="70">
        <v>9</v>
      </c>
      <c r="D135" s="92">
        <f>C135/34</f>
        <v>0.26470588235294118</v>
      </c>
    </row>
    <row r="136" spans="1:6" x14ac:dyDescent="0.2">
      <c r="A136" s="69" t="s">
        <v>29</v>
      </c>
      <c r="B136" s="69" t="s">
        <v>120</v>
      </c>
      <c r="C136" s="70">
        <v>1</v>
      </c>
      <c r="D136" s="92">
        <f>C136/34</f>
        <v>2.9411764705882353E-2</v>
      </c>
    </row>
    <row r="137" spans="1:6" x14ac:dyDescent="0.2">
      <c r="A137" s="69" t="s">
        <v>29</v>
      </c>
      <c r="B137" s="69" t="s">
        <v>121</v>
      </c>
      <c r="C137" s="70">
        <v>2</v>
      </c>
      <c r="D137" s="92">
        <f>C137/34</f>
        <v>5.8823529411764705E-2</v>
      </c>
    </row>
    <row r="138" spans="1:6" x14ac:dyDescent="0.2">
      <c r="C138" s="90">
        <f>SUM(C133:C137)</f>
        <v>34</v>
      </c>
      <c r="D138" s="92">
        <f>SUM(D133:D137)</f>
        <v>1</v>
      </c>
    </row>
    <row r="140" spans="1:6" x14ac:dyDescent="0.2">
      <c r="A140" s="71" t="s">
        <v>11</v>
      </c>
      <c r="B140" s="71" t="s">
        <v>124</v>
      </c>
      <c r="C140" s="71" t="s">
        <v>175</v>
      </c>
      <c r="D140" s="71" t="s">
        <v>194</v>
      </c>
      <c r="E140" s="71" t="s">
        <v>3</v>
      </c>
      <c r="F140" s="71" t="s">
        <v>16</v>
      </c>
    </row>
    <row r="141" spans="1:6" s="115" customFormat="1" x14ac:dyDescent="0.2">
      <c r="A141" s="72" t="s">
        <v>29</v>
      </c>
      <c r="B141" s="72" t="s">
        <v>195</v>
      </c>
      <c r="C141" s="73">
        <v>0</v>
      </c>
      <c r="D141" s="73">
        <v>5</v>
      </c>
      <c r="E141" s="73">
        <f t="shared" ref="E141:E148" si="9">SUM(C141:D141)</f>
        <v>5</v>
      </c>
      <c r="F141" s="114">
        <f>E141/83</f>
        <v>6.0240963855421686E-2</v>
      </c>
    </row>
    <row r="142" spans="1:6" x14ac:dyDescent="0.2">
      <c r="A142" s="76" t="s">
        <v>29</v>
      </c>
      <c r="B142" s="76" t="s">
        <v>128</v>
      </c>
      <c r="C142" s="77">
        <v>4</v>
      </c>
      <c r="D142" s="90">
        <v>3</v>
      </c>
      <c r="E142" s="73">
        <f t="shared" si="9"/>
        <v>7</v>
      </c>
      <c r="F142" s="114">
        <f t="shared" ref="F142:F148" si="10">E142/83</f>
        <v>8.4337349397590355E-2</v>
      </c>
    </row>
    <row r="143" spans="1:6" x14ac:dyDescent="0.2">
      <c r="A143" s="76" t="s">
        <v>29</v>
      </c>
      <c r="B143" s="76" t="s">
        <v>129</v>
      </c>
      <c r="C143" s="77">
        <v>7</v>
      </c>
      <c r="D143" s="90">
        <v>1</v>
      </c>
      <c r="E143" s="73">
        <f t="shared" si="9"/>
        <v>8</v>
      </c>
      <c r="F143" s="114">
        <f t="shared" si="10"/>
        <v>9.6385542168674704E-2</v>
      </c>
    </row>
    <row r="144" spans="1:6" x14ac:dyDescent="0.2">
      <c r="A144" s="76" t="s">
        <v>29</v>
      </c>
      <c r="B144" s="76" t="s">
        <v>130</v>
      </c>
      <c r="C144" s="77">
        <v>7</v>
      </c>
      <c r="D144" s="90">
        <v>3</v>
      </c>
      <c r="E144" s="73">
        <f t="shared" si="9"/>
        <v>10</v>
      </c>
      <c r="F144" s="114">
        <f t="shared" si="10"/>
        <v>0.12048192771084337</v>
      </c>
    </row>
    <row r="145" spans="1:6" x14ac:dyDescent="0.2">
      <c r="A145" s="76" t="s">
        <v>29</v>
      </c>
      <c r="B145" s="76" t="s">
        <v>131</v>
      </c>
      <c r="C145" s="77">
        <v>20</v>
      </c>
      <c r="D145" s="90">
        <v>1</v>
      </c>
      <c r="E145" s="73">
        <f t="shared" si="9"/>
        <v>21</v>
      </c>
      <c r="F145" s="114">
        <f t="shared" si="10"/>
        <v>0.25301204819277107</v>
      </c>
    </row>
    <row r="146" spans="1:6" x14ac:dyDescent="0.2">
      <c r="A146" s="76" t="s">
        <v>29</v>
      </c>
      <c r="B146" s="76" t="s">
        <v>132</v>
      </c>
      <c r="C146" s="77">
        <v>17</v>
      </c>
      <c r="D146" s="90">
        <v>2</v>
      </c>
      <c r="E146" s="73">
        <f t="shared" si="9"/>
        <v>19</v>
      </c>
      <c r="F146" s="114">
        <f t="shared" si="10"/>
        <v>0.2289156626506024</v>
      </c>
    </row>
    <row r="147" spans="1:6" x14ac:dyDescent="0.2">
      <c r="A147" s="76" t="s">
        <v>29</v>
      </c>
      <c r="B147" s="76" t="s">
        <v>133</v>
      </c>
      <c r="C147" s="77">
        <v>8</v>
      </c>
      <c r="D147" s="90">
        <v>0</v>
      </c>
      <c r="E147" s="73">
        <f t="shared" si="9"/>
        <v>8</v>
      </c>
      <c r="F147" s="114">
        <f t="shared" si="10"/>
        <v>9.6385542168674704E-2</v>
      </c>
    </row>
    <row r="148" spans="1:6" x14ac:dyDescent="0.2">
      <c r="A148" s="76" t="s">
        <v>29</v>
      </c>
      <c r="B148" s="76" t="s">
        <v>134</v>
      </c>
      <c r="C148" s="77">
        <v>5</v>
      </c>
      <c r="D148" s="90">
        <v>0</v>
      </c>
      <c r="E148" s="73">
        <f t="shared" si="9"/>
        <v>5</v>
      </c>
      <c r="F148" s="114">
        <f t="shared" si="10"/>
        <v>6.0240963855421686E-2</v>
      </c>
    </row>
    <row r="149" spans="1:6" x14ac:dyDescent="0.2">
      <c r="C149" s="90">
        <f>SUM(C141:C148)</f>
        <v>68</v>
      </c>
      <c r="D149" s="90">
        <f>SUM(D141:D148)</f>
        <v>15</v>
      </c>
      <c r="E149" s="151">
        <f>SUM(E141:E148)</f>
        <v>83</v>
      </c>
      <c r="F149" s="92">
        <f>SUM(F141:F148)</f>
        <v>0.99999999999999989</v>
      </c>
    </row>
    <row r="151" spans="1:6" x14ac:dyDescent="0.2">
      <c r="A151" s="78" t="s">
        <v>11</v>
      </c>
      <c r="B151" s="78" t="s">
        <v>135</v>
      </c>
      <c r="C151" s="78" t="s">
        <v>196</v>
      </c>
      <c r="D151" s="78" t="s">
        <v>197</v>
      </c>
      <c r="E151" s="78" t="s">
        <v>3</v>
      </c>
      <c r="F151" s="78" t="s">
        <v>16</v>
      </c>
    </row>
    <row r="152" spans="1:6" x14ac:dyDescent="0.2">
      <c r="A152" s="79" t="s">
        <v>29</v>
      </c>
      <c r="B152" s="79" t="s">
        <v>137</v>
      </c>
      <c r="C152" s="80">
        <v>60</v>
      </c>
      <c r="D152" s="90">
        <v>11</v>
      </c>
      <c r="E152" s="90">
        <f>SUM(C152:D152)</f>
        <v>71</v>
      </c>
      <c r="F152" s="114">
        <f t="shared" ref="F152:F155" si="11">E152/83</f>
        <v>0.85542168674698793</v>
      </c>
    </row>
    <row r="153" spans="1:6" x14ac:dyDescent="0.2">
      <c r="A153" s="79" t="s">
        <v>29</v>
      </c>
      <c r="B153" s="79" t="s">
        <v>138</v>
      </c>
      <c r="C153" s="80">
        <v>1</v>
      </c>
      <c r="D153" s="90">
        <v>0</v>
      </c>
      <c r="E153" s="90">
        <f>SUM(C153:D153)</f>
        <v>1</v>
      </c>
      <c r="F153" s="114">
        <f t="shared" si="11"/>
        <v>1.2048192771084338E-2</v>
      </c>
    </row>
    <row r="154" spans="1:6" x14ac:dyDescent="0.2">
      <c r="A154" s="79" t="s">
        <v>29</v>
      </c>
      <c r="B154" s="79" t="s">
        <v>140</v>
      </c>
      <c r="C154" s="80">
        <v>3</v>
      </c>
      <c r="D154" s="90">
        <v>0</v>
      </c>
      <c r="E154" s="90">
        <f>SUM(C154:D154)</f>
        <v>3</v>
      </c>
      <c r="F154" s="114">
        <f t="shared" si="11"/>
        <v>3.614457831325301E-2</v>
      </c>
    </row>
    <row r="155" spans="1:6" x14ac:dyDescent="0.2">
      <c r="A155" s="79" t="s">
        <v>29</v>
      </c>
      <c r="B155" s="79" t="s">
        <v>142</v>
      </c>
      <c r="C155" s="80">
        <v>4</v>
      </c>
      <c r="D155" s="90">
        <v>4</v>
      </c>
      <c r="E155" s="90">
        <f>SUM(C155:D155)</f>
        <v>8</v>
      </c>
      <c r="F155" s="114">
        <f t="shared" si="11"/>
        <v>9.6385542168674704E-2</v>
      </c>
    </row>
    <row r="156" spans="1:6" x14ac:dyDescent="0.2">
      <c r="C156" s="90">
        <f>SUM(C152:C155)</f>
        <v>68</v>
      </c>
      <c r="D156" s="90">
        <f>SUM(D152:D155)</f>
        <v>15</v>
      </c>
      <c r="E156" s="90">
        <f>SUM(E152:E155)</f>
        <v>83</v>
      </c>
      <c r="F156" s="92">
        <f>SUM(F152:F155)</f>
        <v>1</v>
      </c>
    </row>
    <row r="158" spans="1:6" x14ac:dyDescent="0.2">
      <c r="A158" s="78" t="s">
        <v>11</v>
      </c>
      <c r="B158" s="78" t="s">
        <v>198</v>
      </c>
      <c r="C158" s="78" t="s">
        <v>196</v>
      </c>
      <c r="D158" s="78" t="s">
        <v>197</v>
      </c>
      <c r="E158" s="78" t="s">
        <v>3</v>
      </c>
      <c r="F158" s="78" t="s">
        <v>16</v>
      </c>
    </row>
    <row r="159" spans="1:6" x14ac:dyDescent="0.2">
      <c r="A159" s="107" t="s">
        <v>29</v>
      </c>
      <c r="B159" s="107" t="s">
        <v>60</v>
      </c>
      <c r="C159" s="108">
        <v>19</v>
      </c>
      <c r="D159" s="90">
        <v>0</v>
      </c>
      <c r="E159" s="90">
        <v>19</v>
      </c>
      <c r="F159" s="114">
        <f t="shared" ref="F159" si="12">E159/83</f>
        <v>0.2289156626506024</v>
      </c>
    </row>
    <row r="162" spans="1:6" x14ac:dyDescent="0.2">
      <c r="A162" s="82" t="s">
        <v>11</v>
      </c>
      <c r="B162" s="82" t="s">
        <v>199</v>
      </c>
      <c r="C162" s="82" t="s">
        <v>212</v>
      </c>
      <c r="D162" s="5" t="s">
        <v>125</v>
      </c>
      <c r="E162" s="82" t="s">
        <v>3</v>
      </c>
      <c r="F162" s="82" t="s">
        <v>16</v>
      </c>
    </row>
    <row r="163" spans="1:6" x14ac:dyDescent="0.2">
      <c r="A163" s="83" t="s">
        <v>29</v>
      </c>
      <c r="B163" s="83" t="s">
        <v>145</v>
      </c>
      <c r="C163" s="84">
        <v>56</v>
      </c>
      <c r="D163" s="90">
        <v>5</v>
      </c>
      <c r="E163" s="90">
        <f>SUM(C163:D163)</f>
        <v>61</v>
      </c>
      <c r="F163" s="114">
        <f t="shared" ref="F163:F166" si="13">E163/83</f>
        <v>0.73493975903614461</v>
      </c>
    </row>
    <row r="164" spans="1:6" x14ac:dyDescent="0.2">
      <c r="A164" s="83" t="s">
        <v>29</v>
      </c>
      <c r="B164" s="83" t="s">
        <v>146</v>
      </c>
      <c r="C164" s="84">
        <v>10</v>
      </c>
      <c r="D164" s="90">
        <v>6</v>
      </c>
      <c r="E164" s="90">
        <f>SUM(C164:D164)</f>
        <v>16</v>
      </c>
      <c r="F164" s="114">
        <f t="shared" si="13"/>
        <v>0.19277108433734941</v>
      </c>
    </row>
    <row r="165" spans="1:6" x14ac:dyDescent="0.2">
      <c r="A165" s="83" t="s">
        <v>29</v>
      </c>
      <c r="B165" s="83" t="s">
        <v>147</v>
      </c>
      <c r="C165" s="84">
        <v>2</v>
      </c>
      <c r="D165" s="90">
        <v>1</v>
      </c>
      <c r="E165" s="90">
        <f>SUM(C165:D165)</f>
        <v>3</v>
      </c>
      <c r="F165" s="114">
        <f t="shared" si="13"/>
        <v>3.614457831325301E-2</v>
      </c>
    </row>
    <row r="166" spans="1:6" x14ac:dyDescent="0.2">
      <c r="A166" s="90" t="s">
        <v>252</v>
      </c>
      <c r="B166" s="90" t="s">
        <v>148</v>
      </c>
      <c r="C166" s="90">
        <v>0</v>
      </c>
      <c r="D166" s="90">
        <v>3</v>
      </c>
      <c r="E166" s="90">
        <f>SUM(C166:D166)</f>
        <v>3</v>
      </c>
      <c r="F166" s="114">
        <f t="shared" si="13"/>
        <v>3.614457831325301E-2</v>
      </c>
    </row>
    <row r="167" spans="1:6" x14ac:dyDescent="0.2">
      <c r="C167" s="90">
        <f>SUM(C163:C166)</f>
        <v>68</v>
      </c>
      <c r="D167" s="90">
        <f>SUM(D163:D166)</f>
        <v>15</v>
      </c>
      <c r="E167" s="90">
        <f>SUM(E163:E166)</f>
        <v>83</v>
      </c>
      <c r="F167" s="92">
        <f>SUM(F163:F166)</f>
        <v>1</v>
      </c>
    </row>
    <row r="169" spans="1:6" ht="36" x14ac:dyDescent="0.2">
      <c r="A169" s="12"/>
      <c r="B169" s="3" t="s">
        <v>204</v>
      </c>
      <c r="C169" s="12"/>
      <c r="D169" s="12"/>
      <c r="E169" s="12"/>
      <c r="F169" s="12"/>
    </row>
    <row r="170" spans="1:6" ht="24" x14ac:dyDescent="0.2">
      <c r="A170" s="85" t="s">
        <v>11</v>
      </c>
      <c r="B170" s="85" t="s">
        <v>205</v>
      </c>
      <c r="C170" s="85" t="s">
        <v>206</v>
      </c>
      <c r="D170" s="85" t="s">
        <v>207</v>
      </c>
      <c r="E170" s="5" t="s">
        <v>16</v>
      </c>
      <c r="F170" s="85" t="s">
        <v>208</v>
      </c>
    </row>
    <row r="171" spans="1:6" x14ac:dyDescent="0.2">
      <c r="A171" s="86" t="s">
        <v>29</v>
      </c>
      <c r="B171" s="86" t="s">
        <v>226</v>
      </c>
      <c r="C171" s="87">
        <v>7</v>
      </c>
      <c r="D171" s="87">
        <v>175</v>
      </c>
      <c r="E171" s="92">
        <f>D171/507</f>
        <v>0.34516765285996054</v>
      </c>
      <c r="F171" s="87">
        <v>182</v>
      </c>
    </row>
    <row r="172" spans="1:6" x14ac:dyDescent="0.2">
      <c r="A172" s="86" t="s">
        <v>29</v>
      </c>
      <c r="B172" s="86" t="s">
        <v>209</v>
      </c>
      <c r="C172" s="87">
        <v>3</v>
      </c>
      <c r="D172" s="87">
        <v>282</v>
      </c>
      <c r="E172" s="92">
        <f>D172/507</f>
        <v>0.55621301775147924</v>
      </c>
      <c r="F172" s="87">
        <v>289</v>
      </c>
    </row>
    <row r="173" spans="1:6" x14ac:dyDescent="0.2">
      <c r="A173" s="86" t="s">
        <v>29</v>
      </c>
      <c r="B173" s="86" t="s">
        <v>210</v>
      </c>
      <c r="C173" s="87">
        <v>3</v>
      </c>
      <c r="D173" s="87">
        <v>35</v>
      </c>
      <c r="E173" s="92">
        <f>D173/507</f>
        <v>6.9033530571992116E-2</v>
      </c>
      <c r="F173" s="87">
        <v>35</v>
      </c>
    </row>
    <row r="174" spans="1:6" x14ac:dyDescent="0.2">
      <c r="A174" s="86" t="s">
        <v>29</v>
      </c>
      <c r="B174" s="86" t="s">
        <v>211</v>
      </c>
      <c r="C174" s="87">
        <v>1</v>
      </c>
      <c r="D174" s="87">
        <v>15</v>
      </c>
      <c r="E174" s="92">
        <f>D174/507</f>
        <v>2.9585798816568046E-2</v>
      </c>
      <c r="F174" s="87">
        <v>15</v>
      </c>
    </row>
    <row r="175" spans="1:6" x14ac:dyDescent="0.2">
      <c r="C175" s="90">
        <f>SUM(C171:C174)</f>
        <v>14</v>
      </c>
      <c r="D175" s="90">
        <f>SUM(D171:D174)</f>
        <v>507</v>
      </c>
      <c r="E175" s="92">
        <f>SUM(E171:E174)</f>
        <v>1</v>
      </c>
      <c r="F175" s="90">
        <f>SUM(F171:F174)</f>
        <v>521</v>
      </c>
    </row>
    <row r="176" spans="1:6" x14ac:dyDescent="0.2">
      <c r="F176" s="92">
        <f>D175/F175</f>
        <v>0.97312859884836855</v>
      </c>
    </row>
  </sheetData>
  <printOptions horizontalCentered="1"/>
  <pageMargins left="0.7" right="0.7" top="0.75" bottom="0.75" header="0.3" footer="0.3"/>
  <pageSetup orientation="portrait" horizontalDpi="4294967293" verticalDpi="4294967293" r:id="rId1"/>
  <headerFooter>
    <oddHeader>&amp;L&amp;"-,Bold"&amp;8Yuma County&amp;C&amp;"-,Bold"&amp;8AZ Balance of State
Continuum of Care
2018 Point In Time Data Report &amp;R&amp;"-,Bold"&amp;8&amp;P of &amp;N
&amp;D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zoomScale="130" zoomScaleNormal="130" workbookViewId="0">
      <selection activeCell="M20" sqref="M20"/>
    </sheetView>
  </sheetViews>
  <sheetFormatPr defaultColWidth="9.140625" defaultRowHeight="12" x14ac:dyDescent="0.2"/>
  <cols>
    <col min="1" max="1" width="18.28515625" style="1" customWidth="1"/>
    <col min="2" max="2" width="23.5703125" style="1" customWidth="1"/>
    <col min="3" max="3" width="11.5703125" style="1" bestFit="1" customWidth="1"/>
    <col min="4" max="16384" width="9.140625" style="1"/>
  </cols>
  <sheetData>
    <row r="2" spans="1:5" ht="72.75" customHeight="1" x14ac:dyDescent="0.2">
      <c r="A2" s="23" t="s">
        <v>155</v>
      </c>
      <c r="B2" s="23"/>
      <c r="C2" s="23"/>
      <c r="D2" s="23"/>
      <c r="E2" s="23"/>
    </row>
    <row r="5" spans="1:5" x14ac:dyDescent="0.2">
      <c r="A5" s="24" t="s">
        <v>63</v>
      </c>
    </row>
    <row r="6" spans="1:5" ht="24" x14ac:dyDescent="0.2">
      <c r="A6" s="25" t="s">
        <v>156</v>
      </c>
      <c r="B6" s="25" t="s">
        <v>163</v>
      </c>
      <c r="C6" s="2" t="s">
        <v>16</v>
      </c>
    </row>
    <row r="7" spans="1:5" ht="24" x14ac:dyDescent="0.2">
      <c r="A7" s="26" t="s">
        <v>153</v>
      </c>
      <c r="B7" s="27">
        <v>3</v>
      </c>
      <c r="C7" s="6">
        <f>B7/26</f>
        <v>0.11538461538461539</v>
      </c>
    </row>
    <row r="8" spans="1:5" x14ac:dyDescent="0.2">
      <c r="A8" s="26" t="s">
        <v>154</v>
      </c>
      <c r="B8" s="27">
        <v>23</v>
      </c>
      <c r="C8" s="6">
        <f>B8/26</f>
        <v>0.88461538461538458</v>
      </c>
    </row>
    <row r="9" spans="1:5" x14ac:dyDescent="0.2">
      <c r="B9" s="1">
        <f>SUM(B7:B8)</f>
        <v>26</v>
      </c>
      <c r="C9" s="6">
        <f>SUM(C7:C8)</f>
        <v>1</v>
      </c>
    </row>
    <row r="12" spans="1:5" x14ac:dyDescent="0.2">
      <c r="A12" s="28" t="s">
        <v>162</v>
      </c>
      <c r="B12" s="28" t="s">
        <v>163</v>
      </c>
      <c r="C12" s="2" t="s">
        <v>16</v>
      </c>
    </row>
    <row r="13" spans="1:5" x14ac:dyDescent="0.2">
      <c r="A13" s="26" t="s">
        <v>157</v>
      </c>
      <c r="B13" s="27">
        <v>5</v>
      </c>
      <c r="C13" s="6">
        <f>B13/41</f>
        <v>0.12195121951219512</v>
      </c>
    </row>
    <row r="14" spans="1:5" ht="24" x14ac:dyDescent="0.2">
      <c r="A14" s="26" t="s">
        <v>164</v>
      </c>
      <c r="B14" s="27">
        <v>5</v>
      </c>
      <c r="C14" s="6">
        <f t="shared" ref="C14:C18" si="0">B14/41</f>
        <v>0.12195121951219512</v>
      </c>
    </row>
    <row r="15" spans="1:5" ht="30" customHeight="1" x14ac:dyDescent="0.2">
      <c r="A15" s="26" t="s">
        <v>158</v>
      </c>
      <c r="B15" s="27">
        <v>10</v>
      </c>
      <c r="C15" s="6">
        <f t="shared" si="0"/>
        <v>0.24390243902439024</v>
      </c>
    </row>
    <row r="16" spans="1:5" x14ac:dyDescent="0.2">
      <c r="A16" s="26" t="s">
        <v>159</v>
      </c>
      <c r="B16" s="27">
        <v>1</v>
      </c>
      <c r="C16" s="6">
        <f t="shared" si="0"/>
        <v>2.4390243902439025E-2</v>
      </c>
    </row>
    <row r="17" spans="1:3" x14ac:dyDescent="0.2">
      <c r="A17" s="26" t="s">
        <v>160</v>
      </c>
      <c r="B17" s="27">
        <v>10</v>
      </c>
      <c r="C17" s="6">
        <f t="shared" si="0"/>
        <v>0.24390243902439024</v>
      </c>
    </row>
    <row r="18" spans="1:3" ht="36" x14ac:dyDescent="0.2">
      <c r="A18" s="26" t="s">
        <v>161</v>
      </c>
      <c r="B18" s="27">
        <v>10</v>
      </c>
      <c r="C18" s="6">
        <f t="shared" si="0"/>
        <v>0.24390243902439024</v>
      </c>
    </row>
    <row r="19" spans="1:3" x14ac:dyDescent="0.2">
      <c r="B19" s="1">
        <f>SUM(B13:B18)</f>
        <v>41</v>
      </c>
      <c r="C19" s="6">
        <f>SUM(C13:C18)</f>
        <v>1</v>
      </c>
    </row>
    <row r="21" spans="1:3" x14ac:dyDescent="0.2">
      <c r="A21" s="28" t="s">
        <v>172</v>
      </c>
      <c r="B21" s="28" t="s">
        <v>163</v>
      </c>
      <c r="C21" s="2" t="s">
        <v>16</v>
      </c>
    </row>
    <row r="22" spans="1:3" x14ac:dyDescent="0.2">
      <c r="A22" s="26" t="s">
        <v>165</v>
      </c>
      <c r="B22" s="27">
        <v>8</v>
      </c>
      <c r="C22" s="6">
        <f>B22/34</f>
        <v>0.23529411764705882</v>
      </c>
    </row>
    <row r="23" spans="1:3" x14ac:dyDescent="0.2">
      <c r="A23" s="26" t="s">
        <v>166</v>
      </c>
      <c r="B23" s="27">
        <v>3</v>
      </c>
      <c r="C23" s="6">
        <f t="shared" ref="C23:C28" si="1">B23/34</f>
        <v>8.8235294117647065E-2</v>
      </c>
    </row>
    <row r="24" spans="1:3" x14ac:dyDescent="0.2">
      <c r="A24" s="26" t="s">
        <v>167</v>
      </c>
      <c r="B24" s="27">
        <v>4</v>
      </c>
      <c r="C24" s="6">
        <f t="shared" si="1"/>
        <v>0.11764705882352941</v>
      </c>
    </row>
    <row r="25" spans="1:3" x14ac:dyDescent="0.2">
      <c r="A25" s="26" t="s">
        <v>168</v>
      </c>
      <c r="B25" s="27">
        <v>2</v>
      </c>
      <c r="C25" s="6">
        <f t="shared" si="1"/>
        <v>5.8823529411764705E-2</v>
      </c>
    </row>
    <row r="26" spans="1:3" x14ac:dyDescent="0.2">
      <c r="A26" s="26" t="s">
        <v>169</v>
      </c>
      <c r="B26" s="27">
        <v>2</v>
      </c>
      <c r="C26" s="6">
        <f t="shared" si="1"/>
        <v>5.8823529411764705E-2</v>
      </c>
    </row>
    <row r="27" spans="1:3" x14ac:dyDescent="0.2">
      <c r="A27" s="26" t="s">
        <v>170</v>
      </c>
      <c r="B27" s="27">
        <v>2</v>
      </c>
      <c r="C27" s="6">
        <f t="shared" si="1"/>
        <v>5.8823529411764705E-2</v>
      </c>
    </row>
    <row r="28" spans="1:3" x14ac:dyDescent="0.2">
      <c r="A28" s="26" t="s">
        <v>171</v>
      </c>
      <c r="B28" s="27">
        <v>13</v>
      </c>
      <c r="C28" s="6">
        <f t="shared" si="1"/>
        <v>0.38235294117647056</v>
      </c>
    </row>
    <row r="29" spans="1:3" x14ac:dyDescent="0.2">
      <c r="B29" s="1">
        <f>SUM(B22:B28)</f>
        <v>34</v>
      </c>
      <c r="C29" s="6">
        <f>SUM(C22:C28)</f>
        <v>1</v>
      </c>
    </row>
  </sheetData>
  <mergeCells count="1">
    <mergeCell ref="A2:E2"/>
  </mergeCells>
  <printOptions horizontalCentered="1"/>
  <pageMargins left="0.7" right="0.7" top="0.75" bottom="0.75" header="0.3" footer="0.3"/>
  <pageSetup orientation="portrait" horizontalDpi="4294967293" verticalDpi="4294967293" r:id="rId1"/>
  <headerFooter>
    <oddHeader>&amp;L&amp;"-,Bold"&amp;8Youth Under 25&amp;C&amp;"-,Bold"&amp;8AZ Balance of State
Continuum of Care
2018 Point In Time Data Report &amp;R&amp;"-,Bold"&amp;8&amp;P of &amp;N
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zoomScale="130" zoomScaleNormal="130" workbookViewId="0">
      <selection activeCell="C3" sqref="C3"/>
    </sheetView>
  </sheetViews>
  <sheetFormatPr defaultColWidth="9.140625" defaultRowHeight="12" x14ac:dyDescent="0.2"/>
  <cols>
    <col min="1" max="1" width="11.5703125" style="1" customWidth="1"/>
    <col min="2" max="2" width="19.7109375" style="1" customWidth="1"/>
    <col min="3" max="3" width="16.140625" style="1" customWidth="1"/>
    <col min="4" max="4" width="10.28515625" style="1" customWidth="1"/>
    <col min="5" max="6" width="10" style="1" bestFit="1" customWidth="1"/>
    <col min="7" max="16384" width="9.140625" style="1"/>
  </cols>
  <sheetData>
    <row r="1" spans="1:4" x14ac:dyDescent="0.2">
      <c r="A1" s="34" t="s">
        <v>11</v>
      </c>
      <c r="B1" s="34" t="s">
        <v>175</v>
      </c>
      <c r="C1" s="35" t="s">
        <v>136</v>
      </c>
      <c r="D1" s="5" t="s">
        <v>3</v>
      </c>
    </row>
    <row r="2" spans="1:4" x14ac:dyDescent="0.2">
      <c r="A2" s="36" t="s">
        <v>17</v>
      </c>
      <c r="B2" s="37">
        <v>5</v>
      </c>
      <c r="C2" s="1">
        <v>2</v>
      </c>
      <c r="D2" s="1">
        <f>SUM(B2:C2)</f>
        <v>7</v>
      </c>
    </row>
    <row r="3" spans="1:4" ht="12.75" customHeight="1" x14ac:dyDescent="0.2"/>
    <row r="4" spans="1:4" ht="12.75" customHeight="1" x14ac:dyDescent="0.2"/>
    <row r="5" spans="1:4" ht="12.75" customHeight="1" x14ac:dyDescent="0.2">
      <c r="A5" s="38" t="s">
        <v>11</v>
      </c>
      <c r="B5" s="38" t="s">
        <v>36</v>
      </c>
      <c r="C5" s="38" t="s">
        <v>250</v>
      </c>
      <c r="D5" s="39" t="s">
        <v>16</v>
      </c>
    </row>
    <row r="6" spans="1:4" ht="12.75" customHeight="1" x14ac:dyDescent="0.2">
      <c r="A6" s="40" t="s">
        <v>17</v>
      </c>
      <c r="B6" s="40" t="s">
        <v>201</v>
      </c>
      <c r="C6" s="41">
        <v>4</v>
      </c>
      <c r="D6" s="6">
        <f>C6/5</f>
        <v>0.8</v>
      </c>
    </row>
    <row r="7" spans="1:4" ht="12.75" customHeight="1" x14ac:dyDescent="0.2">
      <c r="A7" s="40" t="s">
        <v>17</v>
      </c>
      <c r="B7" s="40" t="s">
        <v>42</v>
      </c>
      <c r="C7" s="41">
        <v>1</v>
      </c>
      <c r="D7" s="6">
        <f>C7/5</f>
        <v>0.2</v>
      </c>
    </row>
    <row r="8" spans="1:4" ht="12.75" customHeight="1" x14ac:dyDescent="0.2"/>
    <row r="9" spans="1:4" x14ac:dyDescent="0.2">
      <c r="A9" s="42" t="s">
        <v>11</v>
      </c>
      <c r="B9" s="42" t="s">
        <v>44</v>
      </c>
      <c r="C9" s="42" t="s">
        <v>37</v>
      </c>
      <c r="D9" s="5" t="s">
        <v>16</v>
      </c>
    </row>
    <row r="10" spans="1:4" x14ac:dyDescent="0.2">
      <c r="A10" s="43" t="s">
        <v>17</v>
      </c>
      <c r="B10" s="43" t="s">
        <v>47</v>
      </c>
      <c r="C10" s="44">
        <v>1</v>
      </c>
      <c r="D10" s="6">
        <f>C10/5</f>
        <v>0.2</v>
      </c>
    </row>
    <row r="11" spans="1:4" x14ac:dyDescent="0.2">
      <c r="A11" s="43" t="s">
        <v>17</v>
      </c>
      <c r="B11" s="43" t="s">
        <v>51</v>
      </c>
      <c r="C11" s="44">
        <v>3</v>
      </c>
      <c r="D11" s="6">
        <f>C11/5</f>
        <v>0.6</v>
      </c>
    </row>
    <row r="12" spans="1:4" x14ac:dyDescent="0.2">
      <c r="A12" s="43" t="s">
        <v>17</v>
      </c>
      <c r="B12" s="43" t="s">
        <v>52</v>
      </c>
      <c r="C12" s="44">
        <v>1</v>
      </c>
      <c r="D12" s="6">
        <f>C12/5</f>
        <v>0.2</v>
      </c>
    </row>
    <row r="15" spans="1:4" ht="24" x14ac:dyDescent="0.2">
      <c r="A15" s="45" t="s">
        <v>11</v>
      </c>
      <c r="B15" s="45" t="s">
        <v>176</v>
      </c>
      <c r="C15" s="45" t="s">
        <v>37</v>
      </c>
      <c r="D15" s="5" t="s">
        <v>16</v>
      </c>
    </row>
    <row r="16" spans="1:4" x14ac:dyDescent="0.2">
      <c r="A16" s="46" t="s">
        <v>17</v>
      </c>
      <c r="B16" s="46" t="s">
        <v>55</v>
      </c>
      <c r="C16" s="47">
        <v>1</v>
      </c>
      <c r="D16" s="6">
        <f>C16/5</f>
        <v>0.2</v>
      </c>
    </row>
    <row r="17" spans="1:4" x14ac:dyDescent="0.2">
      <c r="A17" s="46" t="s">
        <v>17</v>
      </c>
      <c r="B17" s="46" t="s">
        <v>57</v>
      </c>
      <c r="C17" s="47">
        <v>3</v>
      </c>
      <c r="D17" s="6">
        <f>C17/5</f>
        <v>0.6</v>
      </c>
    </row>
    <row r="18" spans="1:4" x14ac:dyDescent="0.2">
      <c r="A18" s="46" t="s">
        <v>17</v>
      </c>
      <c r="B18" s="46" t="s">
        <v>58</v>
      </c>
      <c r="C18" s="47">
        <v>1</v>
      </c>
      <c r="D18" s="6">
        <f>C18/5</f>
        <v>0.2</v>
      </c>
    </row>
    <row r="21" spans="1:4" s="12" customFormat="1" x14ac:dyDescent="0.2">
      <c r="A21" s="48" t="s">
        <v>11</v>
      </c>
      <c r="B21" s="48" t="s">
        <v>177</v>
      </c>
      <c r="C21" s="48" t="s">
        <v>37</v>
      </c>
      <c r="D21" s="5" t="s">
        <v>16</v>
      </c>
    </row>
    <row r="22" spans="1:4" x14ac:dyDescent="0.2">
      <c r="A22" s="49" t="s">
        <v>17</v>
      </c>
      <c r="B22" s="49" t="s">
        <v>178</v>
      </c>
      <c r="C22" s="50">
        <v>1</v>
      </c>
      <c r="D22" s="6">
        <f>C22/5</f>
        <v>0.2</v>
      </c>
    </row>
    <row r="23" spans="1:4" x14ac:dyDescent="0.2">
      <c r="A23" s="49" t="s">
        <v>17</v>
      </c>
      <c r="B23" s="49" t="s">
        <v>179</v>
      </c>
      <c r="C23" s="50">
        <v>1</v>
      </c>
      <c r="D23" s="6">
        <f>C23/5</f>
        <v>0.2</v>
      </c>
    </row>
    <row r="24" spans="1:4" x14ac:dyDescent="0.2">
      <c r="A24" s="49" t="s">
        <v>17</v>
      </c>
      <c r="B24" s="49" t="s">
        <v>180</v>
      </c>
      <c r="C24" s="50">
        <v>1</v>
      </c>
      <c r="D24" s="6">
        <f>C24/5</f>
        <v>0.2</v>
      </c>
    </row>
    <row r="25" spans="1:4" x14ac:dyDescent="0.2">
      <c r="A25" s="49" t="s">
        <v>17</v>
      </c>
      <c r="B25" s="49" t="s">
        <v>181</v>
      </c>
      <c r="C25" s="50">
        <v>1</v>
      </c>
      <c r="D25" s="6">
        <f>C25/5</f>
        <v>0.2</v>
      </c>
    </row>
    <row r="26" spans="1:4" x14ac:dyDescent="0.2">
      <c r="A26" s="49" t="s">
        <v>17</v>
      </c>
      <c r="B26" s="49" t="s">
        <v>182</v>
      </c>
      <c r="C26" s="50">
        <v>1</v>
      </c>
      <c r="D26" s="6">
        <f>C26/5</f>
        <v>0.2</v>
      </c>
    </row>
    <row r="29" spans="1:4" x14ac:dyDescent="0.2">
      <c r="A29" s="34" t="s">
        <v>11</v>
      </c>
      <c r="B29" s="34" t="s">
        <v>183</v>
      </c>
      <c r="C29" s="34" t="s">
        <v>37</v>
      </c>
      <c r="D29" s="5" t="s">
        <v>16</v>
      </c>
    </row>
    <row r="30" spans="1:4" x14ac:dyDescent="0.2">
      <c r="A30" s="36" t="s">
        <v>17</v>
      </c>
      <c r="B30" s="36" t="s">
        <v>60</v>
      </c>
      <c r="C30" s="37">
        <v>2</v>
      </c>
      <c r="D30" s="6">
        <f>C30/5</f>
        <v>0.4</v>
      </c>
    </row>
    <row r="33" spans="1:4" x14ac:dyDescent="0.2">
      <c r="A33" s="34" t="s">
        <v>11</v>
      </c>
      <c r="B33" s="34" t="s">
        <v>61</v>
      </c>
      <c r="C33" s="34" t="s">
        <v>37</v>
      </c>
      <c r="D33" s="5" t="s">
        <v>16</v>
      </c>
    </row>
    <row r="34" spans="1:4" x14ac:dyDescent="0.2">
      <c r="A34" s="36" t="s">
        <v>17</v>
      </c>
      <c r="B34" s="36" t="s">
        <v>184</v>
      </c>
      <c r="C34" s="37">
        <v>2</v>
      </c>
      <c r="D34" s="6">
        <f>C34/5</f>
        <v>0.4</v>
      </c>
    </row>
    <row r="35" spans="1:4" x14ac:dyDescent="0.2">
      <c r="A35" s="36" t="s">
        <v>17</v>
      </c>
      <c r="B35" s="36" t="s">
        <v>185</v>
      </c>
      <c r="C35" s="37">
        <v>1</v>
      </c>
      <c r="D35" s="6">
        <f>C35/5</f>
        <v>0.2</v>
      </c>
    </row>
    <row r="36" spans="1:4" x14ac:dyDescent="0.2">
      <c r="A36" s="1" t="s">
        <v>17</v>
      </c>
      <c r="B36" s="1" t="s">
        <v>33</v>
      </c>
      <c r="C36" s="1">
        <v>2</v>
      </c>
      <c r="D36" s="6">
        <f>C36/5</f>
        <v>0.4</v>
      </c>
    </row>
    <row r="38" spans="1:4" x14ac:dyDescent="0.2">
      <c r="B38" s="24" t="s">
        <v>63</v>
      </c>
    </row>
    <row r="39" spans="1:4" x14ac:dyDescent="0.2">
      <c r="A39" s="42" t="s">
        <v>11</v>
      </c>
      <c r="B39" s="42" t="s">
        <v>64</v>
      </c>
      <c r="C39" s="42" t="s">
        <v>186</v>
      </c>
      <c r="D39" s="5" t="s">
        <v>16</v>
      </c>
    </row>
    <row r="40" spans="1:4" ht="24" x14ac:dyDescent="0.2">
      <c r="A40" s="43" t="s">
        <v>17</v>
      </c>
      <c r="B40" s="43" t="s">
        <v>65</v>
      </c>
      <c r="C40" s="44">
        <v>1</v>
      </c>
      <c r="D40" s="6">
        <f>C40/5</f>
        <v>0.2</v>
      </c>
    </row>
    <row r="41" spans="1:4" x14ac:dyDescent="0.2">
      <c r="A41" s="43" t="s">
        <v>17</v>
      </c>
      <c r="B41" s="43" t="s">
        <v>68</v>
      </c>
      <c r="C41" s="44">
        <v>2</v>
      </c>
      <c r="D41" s="6">
        <f>C41/5</f>
        <v>0.4</v>
      </c>
    </row>
    <row r="42" spans="1:4" x14ac:dyDescent="0.2">
      <c r="A42" s="43" t="s">
        <v>17</v>
      </c>
      <c r="B42" s="43" t="s">
        <v>70</v>
      </c>
      <c r="C42" s="44">
        <v>1</v>
      </c>
      <c r="D42" s="6">
        <f>C42/5</f>
        <v>0.2</v>
      </c>
    </row>
    <row r="43" spans="1:4" x14ac:dyDescent="0.2">
      <c r="A43" s="43" t="s">
        <v>17</v>
      </c>
      <c r="B43" s="43" t="s">
        <v>71</v>
      </c>
      <c r="C43" s="44">
        <v>1</v>
      </c>
      <c r="D43" s="6">
        <f>C43/5</f>
        <v>0.2</v>
      </c>
    </row>
    <row r="45" spans="1:4" x14ac:dyDescent="0.2">
      <c r="B45" s="24" t="s">
        <v>63</v>
      </c>
    </row>
    <row r="46" spans="1:4" x14ac:dyDescent="0.2">
      <c r="A46" s="45" t="s">
        <v>11</v>
      </c>
      <c r="B46" s="45" t="s">
        <v>187</v>
      </c>
      <c r="C46" s="45" t="s">
        <v>37</v>
      </c>
      <c r="D46" s="5" t="s">
        <v>16</v>
      </c>
    </row>
    <row r="47" spans="1:4" ht="24" x14ac:dyDescent="0.2">
      <c r="A47" s="46" t="s">
        <v>17</v>
      </c>
      <c r="B47" s="46" t="s">
        <v>83</v>
      </c>
      <c r="C47" s="47">
        <v>2</v>
      </c>
      <c r="D47" s="6">
        <f>C47/5</f>
        <v>0.4</v>
      </c>
    </row>
    <row r="48" spans="1:4" x14ac:dyDescent="0.2">
      <c r="A48" s="46" t="s">
        <v>17</v>
      </c>
      <c r="B48" s="46" t="s">
        <v>84</v>
      </c>
      <c r="C48" s="47">
        <v>2</v>
      </c>
      <c r="D48" s="6">
        <f>C48/5</f>
        <v>0.4</v>
      </c>
    </row>
    <row r="49" spans="1:4" x14ac:dyDescent="0.2">
      <c r="A49" s="46" t="s">
        <v>17</v>
      </c>
      <c r="B49" s="46" t="s">
        <v>85</v>
      </c>
      <c r="C49" s="47">
        <v>1</v>
      </c>
      <c r="D49" s="6">
        <f>C49/5</f>
        <v>0.2</v>
      </c>
    </row>
    <row r="51" spans="1:4" x14ac:dyDescent="0.2">
      <c r="B51" s="24" t="s">
        <v>63</v>
      </c>
    </row>
    <row r="52" spans="1:4" x14ac:dyDescent="0.2">
      <c r="A52" s="48" t="s">
        <v>11</v>
      </c>
      <c r="B52" s="48" t="s">
        <v>87</v>
      </c>
      <c r="C52" s="48" t="s">
        <v>37</v>
      </c>
      <c r="D52" s="5" t="s">
        <v>16</v>
      </c>
    </row>
    <row r="53" spans="1:4" x14ac:dyDescent="0.2">
      <c r="A53" s="49" t="s">
        <v>17</v>
      </c>
      <c r="B53" s="49" t="s">
        <v>88</v>
      </c>
      <c r="C53" s="50">
        <v>1</v>
      </c>
      <c r="D53" s="6">
        <f>C53/5</f>
        <v>0.2</v>
      </c>
    </row>
    <row r="54" spans="1:4" x14ac:dyDescent="0.2">
      <c r="A54" s="49" t="s">
        <v>17</v>
      </c>
      <c r="B54" s="49" t="s">
        <v>91</v>
      </c>
      <c r="C54" s="50">
        <v>1</v>
      </c>
      <c r="D54" s="6">
        <f>C54/5</f>
        <v>0.2</v>
      </c>
    </row>
    <row r="55" spans="1:4" x14ac:dyDescent="0.2">
      <c r="A55" s="49" t="s">
        <v>17</v>
      </c>
      <c r="B55" s="49" t="s">
        <v>96</v>
      </c>
      <c r="C55" s="50">
        <v>3</v>
      </c>
      <c r="D55" s="6">
        <f>C55/5</f>
        <v>0.6</v>
      </c>
    </row>
    <row r="58" spans="1:4" x14ac:dyDescent="0.2">
      <c r="B58" s="24" t="s">
        <v>63</v>
      </c>
    </row>
    <row r="59" spans="1:4" x14ac:dyDescent="0.2">
      <c r="A59" s="51" t="s">
        <v>11</v>
      </c>
      <c r="B59" s="51" t="s">
        <v>188</v>
      </c>
      <c r="C59" s="51" t="s">
        <v>37</v>
      </c>
      <c r="D59" s="5" t="s">
        <v>16</v>
      </c>
    </row>
    <row r="60" spans="1:4" x14ac:dyDescent="0.2">
      <c r="A60" s="52" t="s">
        <v>17</v>
      </c>
      <c r="B60" s="52" t="s">
        <v>102</v>
      </c>
      <c r="C60" s="53">
        <v>1</v>
      </c>
      <c r="D60" s="6">
        <f>C60/5</f>
        <v>0.2</v>
      </c>
    </row>
    <row r="61" spans="1:4" ht="24" x14ac:dyDescent="0.2">
      <c r="A61" s="52" t="s">
        <v>17</v>
      </c>
      <c r="B61" s="52" t="s">
        <v>103</v>
      </c>
      <c r="C61" s="53">
        <v>1</v>
      </c>
      <c r="D61" s="6">
        <f>C61/5</f>
        <v>0.2</v>
      </c>
    </row>
    <row r="62" spans="1:4" x14ac:dyDescent="0.2">
      <c r="A62" s="52" t="s">
        <v>17</v>
      </c>
      <c r="B62" s="52" t="s">
        <v>106</v>
      </c>
      <c r="C62" s="53">
        <v>3</v>
      </c>
      <c r="D62" s="6">
        <f>C62/5</f>
        <v>0.6</v>
      </c>
    </row>
    <row r="65" spans="1:4" ht="24" x14ac:dyDescent="0.2">
      <c r="A65" s="54" t="s">
        <v>11</v>
      </c>
      <c r="B65" s="54" t="s">
        <v>202</v>
      </c>
      <c r="C65" s="5" t="s">
        <v>203</v>
      </c>
      <c r="D65" s="5" t="s">
        <v>16</v>
      </c>
    </row>
    <row r="66" spans="1:4" x14ac:dyDescent="0.2">
      <c r="A66" s="1" t="s">
        <v>17</v>
      </c>
      <c r="B66" s="1">
        <v>0</v>
      </c>
      <c r="C66" s="1">
        <v>0</v>
      </c>
      <c r="D66" s="1">
        <v>0</v>
      </c>
    </row>
    <row r="69" spans="1:4" ht="24" x14ac:dyDescent="0.2">
      <c r="A69" s="55" t="s">
        <v>11</v>
      </c>
      <c r="B69" s="55" t="s">
        <v>189</v>
      </c>
      <c r="C69" s="56" t="s">
        <v>37</v>
      </c>
      <c r="D69" s="5" t="s">
        <v>16</v>
      </c>
    </row>
    <row r="70" spans="1:4" x14ac:dyDescent="0.2">
      <c r="A70" s="57" t="s">
        <v>17</v>
      </c>
      <c r="B70" s="57" t="s">
        <v>59</v>
      </c>
      <c r="C70" s="58">
        <v>1</v>
      </c>
      <c r="D70" s="6">
        <f>C70/5</f>
        <v>0.2</v>
      </c>
    </row>
    <row r="71" spans="1:4" x14ac:dyDescent="0.2">
      <c r="A71" s="57" t="s">
        <v>17</v>
      </c>
      <c r="B71" s="57" t="s">
        <v>60</v>
      </c>
      <c r="C71" s="58">
        <v>4</v>
      </c>
      <c r="D71" s="6">
        <f>C71/5</f>
        <v>0.8</v>
      </c>
    </row>
    <row r="74" spans="1:4" x14ac:dyDescent="0.2">
      <c r="A74" s="59" t="s">
        <v>11</v>
      </c>
      <c r="B74" s="59" t="s">
        <v>190</v>
      </c>
      <c r="C74" s="59" t="s">
        <v>37</v>
      </c>
      <c r="D74" s="5" t="s">
        <v>16</v>
      </c>
    </row>
    <row r="75" spans="1:4" x14ac:dyDescent="0.2">
      <c r="A75" s="60" t="s">
        <v>17</v>
      </c>
      <c r="B75" s="60" t="s">
        <v>59</v>
      </c>
      <c r="C75" s="61">
        <v>5</v>
      </c>
      <c r="D75" s="6">
        <f>C75/5</f>
        <v>1</v>
      </c>
    </row>
    <row r="77" spans="1:4" ht="24" x14ac:dyDescent="0.2">
      <c r="A77" s="62" t="s">
        <v>11</v>
      </c>
      <c r="B77" s="62" t="s">
        <v>191</v>
      </c>
      <c r="C77" s="62" t="s">
        <v>37</v>
      </c>
      <c r="D77" s="5" t="s">
        <v>16</v>
      </c>
    </row>
    <row r="78" spans="1:4" x14ac:dyDescent="0.2">
      <c r="A78" s="63" t="s">
        <v>17</v>
      </c>
      <c r="B78" s="63" t="s">
        <v>33</v>
      </c>
      <c r="C78" s="64">
        <v>3</v>
      </c>
      <c r="D78" s="6">
        <f>C78/5</f>
        <v>0.6</v>
      </c>
    </row>
    <row r="79" spans="1:4" x14ac:dyDescent="0.2">
      <c r="A79" s="63" t="s">
        <v>17</v>
      </c>
      <c r="B79" s="63" t="s">
        <v>59</v>
      </c>
      <c r="C79" s="64">
        <v>2</v>
      </c>
      <c r="D79" s="6">
        <f>C79/5</f>
        <v>0.4</v>
      </c>
    </row>
    <row r="81" spans="1:6" x14ac:dyDescent="0.2">
      <c r="A81" s="65" t="s">
        <v>11</v>
      </c>
      <c r="B81" s="65" t="s">
        <v>192</v>
      </c>
      <c r="C81" s="65" t="s">
        <v>37</v>
      </c>
      <c r="D81" s="5" t="s">
        <v>16</v>
      </c>
    </row>
    <row r="82" spans="1:6" x14ac:dyDescent="0.2">
      <c r="A82" s="66" t="s">
        <v>17</v>
      </c>
      <c r="B82" s="66" t="s">
        <v>59</v>
      </c>
      <c r="C82" s="67">
        <v>5</v>
      </c>
      <c r="D82" s="6">
        <f>C82/5</f>
        <v>1</v>
      </c>
    </row>
    <row r="84" spans="1:6" x14ac:dyDescent="0.2">
      <c r="A84" s="68" t="s">
        <v>11</v>
      </c>
      <c r="B84" s="68" t="s">
        <v>193</v>
      </c>
      <c r="C84" s="68" t="s">
        <v>37</v>
      </c>
      <c r="D84" s="5" t="s">
        <v>16</v>
      </c>
    </row>
    <row r="85" spans="1:6" x14ac:dyDescent="0.2">
      <c r="A85" s="69" t="s">
        <v>17</v>
      </c>
      <c r="B85" s="69" t="s">
        <v>118</v>
      </c>
      <c r="C85" s="70">
        <v>1</v>
      </c>
      <c r="D85" s="6">
        <f>C85/5</f>
        <v>0.2</v>
      </c>
    </row>
    <row r="86" spans="1:6" x14ac:dyDescent="0.2">
      <c r="A86" s="69"/>
      <c r="B86" s="69"/>
      <c r="C86" s="70"/>
    </row>
    <row r="88" spans="1:6" ht="24" x14ac:dyDescent="0.2">
      <c r="A88" s="71" t="s">
        <v>11</v>
      </c>
      <c r="B88" s="71" t="s">
        <v>124</v>
      </c>
      <c r="C88" s="71" t="s">
        <v>175</v>
      </c>
      <c r="D88" s="71" t="s">
        <v>194</v>
      </c>
      <c r="E88" s="5" t="s">
        <v>3</v>
      </c>
      <c r="F88" s="71" t="s">
        <v>16</v>
      </c>
    </row>
    <row r="89" spans="1:6" s="17" customFormat="1" x14ac:dyDescent="0.2">
      <c r="A89" s="72" t="s">
        <v>17</v>
      </c>
      <c r="B89" s="72" t="s">
        <v>195</v>
      </c>
      <c r="C89" s="73">
        <v>0</v>
      </c>
      <c r="D89" s="74">
        <v>2</v>
      </c>
      <c r="E89" s="21">
        <f>SUM(C89:D89)</f>
        <v>2</v>
      </c>
      <c r="F89" s="75">
        <f>E89/7</f>
        <v>0.2857142857142857</v>
      </c>
    </row>
    <row r="90" spans="1:6" x14ac:dyDescent="0.2">
      <c r="A90" s="76" t="s">
        <v>17</v>
      </c>
      <c r="B90" s="76" t="s">
        <v>129</v>
      </c>
      <c r="C90" s="77">
        <v>2</v>
      </c>
      <c r="E90" s="21">
        <f>SUM(C90:D90)</f>
        <v>2</v>
      </c>
      <c r="F90" s="75">
        <f>E90/7</f>
        <v>0.2857142857142857</v>
      </c>
    </row>
    <row r="91" spans="1:6" x14ac:dyDescent="0.2">
      <c r="A91" s="76" t="s">
        <v>17</v>
      </c>
      <c r="B91" s="76" t="s">
        <v>130</v>
      </c>
      <c r="C91" s="77">
        <v>2</v>
      </c>
      <c r="E91" s="21">
        <f>SUM(C91:D91)</f>
        <v>2</v>
      </c>
      <c r="F91" s="75">
        <f>E91/7</f>
        <v>0.2857142857142857</v>
      </c>
    </row>
    <row r="92" spans="1:6" x14ac:dyDescent="0.2">
      <c r="A92" s="76" t="s">
        <v>17</v>
      </c>
      <c r="B92" s="76" t="s">
        <v>133</v>
      </c>
      <c r="C92" s="77">
        <v>1</v>
      </c>
      <c r="E92" s="21">
        <f>SUM(C92:D92)</f>
        <v>1</v>
      </c>
      <c r="F92" s="75">
        <f>E92/7</f>
        <v>0.14285714285714285</v>
      </c>
    </row>
    <row r="93" spans="1:6" x14ac:dyDescent="0.2">
      <c r="E93" s="21"/>
    </row>
    <row r="95" spans="1:6" ht="24" x14ac:dyDescent="0.2">
      <c r="A95" s="78" t="s">
        <v>11</v>
      </c>
      <c r="B95" s="78" t="s">
        <v>135</v>
      </c>
      <c r="C95" s="78" t="s">
        <v>196</v>
      </c>
      <c r="D95" s="78" t="s">
        <v>197</v>
      </c>
      <c r="E95" s="5" t="s">
        <v>3</v>
      </c>
      <c r="F95" s="71" t="s">
        <v>16</v>
      </c>
    </row>
    <row r="96" spans="1:6" x14ac:dyDescent="0.2">
      <c r="A96" s="79" t="s">
        <v>17</v>
      </c>
      <c r="B96" s="79" t="s">
        <v>137</v>
      </c>
      <c r="C96" s="80">
        <v>4</v>
      </c>
      <c r="D96" s="1">
        <v>2</v>
      </c>
      <c r="E96" s="1">
        <f>SUM(C96:D96)</f>
        <v>6</v>
      </c>
      <c r="F96" s="75">
        <f>E96/7</f>
        <v>0.8571428571428571</v>
      </c>
    </row>
    <row r="97" spans="1:6" x14ac:dyDescent="0.2">
      <c r="A97" s="79" t="s">
        <v>17</v>
      </c>
      <c r="B97" s="79" t="s">
        <v>138</v>
      </c>
      <c r="C97" s="80">
        <v>1</v>
      </c>
      <c r="E97" s="1">
        <f>SUM(C97:D97)</f>
        <v>1</v>
      </c>
      <c r="F97" s="75">
        <f>E97/7</f>
        <v>0.14285714285714285</v>
      </c>
    </row>
    <row r="100" spans="1:6" ht="24" x14ac:dyDescent="0.2">
      <c r="A100" s="78" t="s">
        <v>11</v>
      </c>
      <c r="B100" s="78" t="s">
        <v>198</v>
      </c>
      <c r="C100" s="78" t="s">
        <v>196</v>
      </c>
      <c r="D100" s="78" t="s">
        <v>197</v>
      </c>
      <c r="E100" s="5" t="s">
        <v>3</v>
      </c>
      <c r="F100" s="71" t="s">
        <v>16</v>
      </c>
    </row>
    <row r="101" spans="1:6" x14ac:dyDescent="0.2">
      <c r="A101" s="1" t="s">
        <v>17</v>
      </c>
      <c r="B101" s="81" t="s">
        <v>60</v>
      </c>
      <c r="C101" s="1">
        <v>0</v>
      </c>
      <c r="D101" s="1">
        <v>0</v>
      </c>
    </row>
    <row r="104" spans="1:6" ht="24" x14ac:dyDescent="0.2">
      <c r="A104" s="82" t="s">
        <v>11</v>
      </c>
      <c r="B104" s="82" t="s">
        <v>199</v>
      </c>
      <c r="C104" s="82" t="s">
        <v>212</v>
      </c>
      <c r="D104" s="5" t="s">
        <v>125</v>
      </c>
      <c r="E104" s="5" t="s">
        <v>3</v>
      </c>
      <c r="F104" s="71" t="s">
        <v>16</v>
      </c>
    </row>
    <row r="105" spans="1:6" x14ac:dyDescent="0.2">
      <c r="A105" s="83" t="s">
        <v>17</v>
      </c>
      <c r="B105" s="83" t="s">
        <v>145</v>
      </c>
      <c r="C105" s="84">
        <v>4</v>
      </c>
      <c r="D105" s="84">
        <v>1</v>
      </c>
      <c r="E105" s="1">
        <f>SUM(C105:D105)</f>
        <v>5</v>
      </c>
      <c r="F105" s="75">
        <f>E105/7</f>
        <v>0.7142857142857143</v>
      </c>
    </row>
    <row r="106" spans="1:6" x14ac:dyDescent="0.2">
      <c r="A106" s="83" t="s">
        <v>17</v>
      </c>
      <c r="B106" s="83" t="s">
        <v>146</v>
      </c>
      <c r="C106" s="84">
        <v>1</v>
      </c>
      <c r="D106" s="84">
        <v>1</v>
      </c>
      <c r="E106" s="1">
        <f>SUM(C106:D106)</f>
        <v>2</v>
      </c>
      <c r="F106" s="75">
        <f>E106/7</f>
        <v>0.2857142857142857</v>
      </c>
    </row>
    <row r="108" spans="1:6" ht="60" x14ac:dyDescent="0.2">
      <c r="A108" s="12"/>
      <c r="B108" s="3" t="s">
        <v>204</v>
      </c>
      <c r="C108" s="3" t="s">
        <v>213</v>
      </c>
      <c r="D108" s="12"/>
      <c r="E108" s="12"/>
    </row>
    <row r="109" spans="1:6" ht="24" x14ac:dyDescent="0.2">
      <c r="A109" s="85" t="s">
        <v>11</v>
      </c>
      <c r="B109" s="85" t="s">
        <v>205</v>
      </c>
      <c r="C109" s="85" t="s">
        <v>206</v>
      </c>
      <c r="D109" s="85" t="s">
        <v>207</v>
      </c>
      <c r="E109" s="71" t="s">
        <v>16</v>
      </c>
      <c r="F109" s="85" t="s">
        <v>208</v>
      </c>
    </row>
    <row r="110" spans="1:6" x14ac:dyDescent="0.2">
      <c r="A110" s="86" t="s">
        <v>17</v>
      </c>
      <c r="B110" s="86" t="s">
        <v>209</v>
      </c>
      <c r="C110" s="87">
        <v>2</v>
      </c>
      <c r="D110" s="87">
        <v>37</v>
      </c>
      <c r="E110" s="6">
        <f>D110/58</f>
        <v>0.63793103448275867</v>
      </c>
      <c r="F110" s="87">
        <v>37</v>
      </c>
    </row>
    <row r="111" spans="1:6" x14ac:dyDescent="0.2">
      <c r="A111" s="86" t="s">
        <v>17</v>
      </c>
      <c r="B111" s="86" t="s">
        <v>210</v>
      </c>
      <c r="C111" s="87">
        <v>1</v>
      </c>
      <c r="D111" s="87">
        <v>2</v>
      </c>
      <c r="E111" s="6">
        <f>D111/58</f>
        <v>3.4482758620689655E-2</v>
      </c>
      <c r="F111" s="87">
        <v>2</v>
      </c>
    </row>
    <row r="112" spans="1:6" x14ac:dyDescent="0.2">
      <c r="A112" s="86" t="s">
        <v>17</v>
      </c>
      <c r="B112" s="86" t="s">
        <v>211</v>
      </c>
      <c r="C112" s="87">
        <v>1</v>
      </c>
      <c r="D112" s="87">
        <v>19</v>
      </c>
      <c r="E112" s="6">
        <f>D112/58</f>
        <v>0.32758620689655171</v>
      </c>
      <c r="F112" s="87">
        <v>19</v>
      </c>
    </row>
    <row r="113" spans="3:6" x14ac:dyDescent="0.2">
      <c r="C113" s="1">
        <f>SUM(C110:C112)</f>
        <v>4</v>
      </c>
      <c r="D113" s="1">
        <f>SUM(D110:D112)</f>
        <v>58</v>
      </c>
      <c r="E113" s="6">
        <f>SUM(E110:E112)</f>
        <v>1</v>
      </c>
      <c r="F113" s="1">
        <f>SUM(F110:F112)</f>
        <v>58</v>
      </c>
    </row>
    <row r="114" spans="3:6" x14ac:dyDescent="0.2">
      <c r="F114" s="6">
        <f>F113/D113</f>
        <v>1</v>
      </c>
    </row>
  </sheetData>
  <printOptions horizontalCentered="1"/>
  <pageMargins left="0.7" right="0.7" top="0.75" bottom="0.75" header="0.3" footer="0.3"/>
  <pageSetup scale="98" orientation="portrait" horizontalDpi="4294967293" verticalDpi="4294967293" r:id="rId1"/>
  <headerFooter>
    <oddHeader>&amp;L&amp;"-,Bold"&amp;8Apache County&amp;C&amp;"-,Bold"&amp;8AZ Balance of State
Continuum of Care
2018 Point In Time Data Report &amp;R&amp;"-,Bold"&amp;8&amp;P of &amp;N
&amp;D</oddHeader>
  </headerFooter>
  <rowBreaks count="2" manualBreakCount="2">
    <brk id="57" max="5" man="1"/>
    <brk id="9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zoomScale="130" zoomScaleNormal="130" workbookViewId="0">
      <selection activeCell="F20" sqref="F20"/>
    </sheetView>
  </sheetViews>
  <sheetFormatPr defaultColWidth="9.140625" defaultRowHeight="12" x14ac:dyDescent="0.2"/>
  <cols>
    <col min="1" max="1" width="9.140625" style="90"/>
    <col min="2" max="2" width="23.85546875" style="90" customWidth="1"/>
    <col min="3" max="3" width="13.85546875" style="90" customWidth="1"/>
    <col min="4" max="4" width="10" style="90" bestFit="1" customWidth="1"/>
    <col min="5" max="16384" width="9.140625" style="90"/>
  </cols>
  <sheetData>
    <row r="1" spans="1:4" x14ac:dyDescent="0.2">
      <c r="A1" s="88" t="s">
        <v>11</v>
      </c>
      <c r="B1" s="88" t="s">
        <v>175</v>
      </c>
      <c r="C1" s="89" t="s">
        <v>197</v>
      </c>
      <c r="D1" s="5" t="s">
        <v>3</v>
      </c>
    </row>
    <row r="2" spans="1:4" x14ac:dyDescent="0.2">
      <c r="A2" s="36" t="s">
        <v>18</v>
      </c>
      <c r="B2" s="37">
        <v>78</v>
      </c>
      <c r="C2" s="90">
        <v>5</v>
      </c>
      <c r="D2" s="90">
        <f>SUM(B2:C2)</f>
        <v>83</v>
      </c>
    </row>
    <row r="4" spans="1:4" x14ac:dyDescent="0.2">
      <c r="A4" s="88" t="s">
        <v>11</v>
      </c>
      <c r="B4" s="88" t="s">
        <v>30</v>
      </c>
      <c r="C4" s="88" t="s">
        <v>232</v>
      </c>
      <c r="D4" s="91" t="s">
        <v>16</v>
      </c>
    </row>
    <row r="5" spans="1:4" x14ac:dyDescent="0.2">
      <c r="A5" s="36" t="s">
        <v>18</v>
      </c>
      <c r="B5" s="36" t="s">
        <v>31</v>
      </c>
      <c r="C5" s="37">
        <v>7</v>
      </c>
      <c r="D5" s="6">
        <f t="shared" ref="D5:D8" si="0">C5/78</f>
        <v>8.9743589743589744E-2</v>
      </c>
    </row>
    <row r="6" spans="1:4" x14ac:dyDescent="0.2">
      <c r="A6" s="36" t="s">
        <v>18</v>
      </c>
      <c r="B6" s="36" t="s">
        <v>32</v>
      </c>
      <c r="C6" s="37">
        <v>22</v>
      </c>
      <c r="D6" s="6">
        <f t="shared" si="0"/>
        <v>0.28205128205128205</v>
      </c>
    </row>
    <row r="7" spans="1:4" x14ac:dyDescent="0.2">
      <c r="A7" s="36" t="s">
        <v>18</v>
      </c>
      <c r="B7" s="36" t="s">
        <v>34</v>
      </c>
      <c r="C7" s="37">
        <v>5</v>
      </c>
      <c r="D7" s="6">
        <f t="shared" si="0"/>
        <v>6.4102564102564097E-2</v>
      </c>
    </row>
    <row r="8" spans="1:4" x14ac:dyDescent="0.2">
      <c r="A8" s="36" t="s">
        <v>18</v>
      </c>
      <c r="B8" s="36" t="s">
        <v>35</v>
      </c>
      <c r="C8" s="37">
        <v>44</v>
      </c>
      <c r="D8" s="6">
        <f t="shared" si="0"/>
        <v>0.5641025641025641</v>
      </c>
    </row>
    <row r="9" spans="1:4" x14ac:dyDescent="0.2">
      <c r="C9" s="90">
        <f>SUM(C5:C8)</f>
        <v>78</v>
      </c>
      <c r="D9" s="92">
        <f>SUM(D5:D8)</f>
        <v>1</v>
      </c>
    </row>
    <row r="10" spans="1:4" x14ac:dyDescent="0.2">
      <c r="D10" s="92"/>
    </row>
    <row r="11" spans="1:4" x14ac:dyDescent="0.2">
      <c r="A11" s="38" t="s">
        <v>11</v>
      </c>
      <c r="B11" s="38" t="s">
        <v>36</v>
      </c>
      <c r="C11" s="38" t="s">
        <v>250</v>
      </c>
      <c r="D11" s="39" t="s">
        <v>16</v>
      </c>
    </row>
    <row r="12" spans="1:4" x14ac:dyDescent="0.2">
      <c r="A12" s="40" t="s">
        <v>18</v>
      </c>
      <c r="B12" s="40" t="s">
        <v>201</v>
      </c>
      <c r="C12" s="41">
        <v>74</v>
      </c>
      <c r="D12" s="6">
        <f t="shared" ref="D12:D14" si="1">C12/78</f>
        <v>0.94871794871794868</v>
      </c>
    </row>
    <row r="13" spans="1:4" x14ac:dyDescent="0.2">
      <c r="A13" s="40" t="s">
        <v>18</v>
      </c>
      <c r="B13" s="40" t="s">
        <v>41</v>
      </c>
      <c r="C13" s="41">
        <v>3</v>
      </c>
      <c r="D13" s="6">
        <f t="shared" si="1"/>
        <v>3.8461538461538464E-2</v>
      </c>
    </row>
    <row r="14" spans="1:4" x14ac:dyDescent="0.2">
      <c r="A14" s="40" t="s">
        <v>18</v>
      </c>
      <c r="B14" s="40" t="s">
        <v>42</v>
      </c>
      <c r="C14" s="41">
        <v>1</v>
      </c>
      <c r="D14" s="6">
        <f t="shared" si="1"/>
        <v>1.282051282051282E-2</v>
      </c>
    </row>
    <row r="15" spans="1:4" x14ac:dyDescent="0.2">
      <c r="C15" s="90">
        <f>SUM(C12:C14)</f>
        <v>78</v>
      </c>
      <c r="D15" s="92">
        <f>SUM(D12:D14)</f>
        <v>0.99999999999999989</v>
      </c>
    </row>
    <row r="16" spans="1:4" x14ac:dyDescent="0.2">
      <c r="D16" s="92"/>
    </row>
    <row r="18" spans="1:4" x14ac:dyDescent="0.2">
      <c r="A18" s="93" t="s">
        <v>11</v>
      </c>
      <c r="B18" s="93" t="s">
        <v>44</v>
      </c>
      <c r="C18" s="93" t="s">
        <v>37</v>
      </c>
      <c r="D18" s="94" t="s">
        <v>16</v>
      </c>
    </row>
    <row r="19" spans="1:4" x14ac:dyDescent="0.2">
      <c r="A19" s="43" t="s">
        <v>18</v>
      </c>
      <c r="B19" s="43" t="s">
        <v>45</v>
      </c>
      <c r="C19" s="44">
        <v>10</v>
      </c>
      <c r="D19" s="6">
        <f t="shared" ref="D19:D26" si="2">C19/78</f>
        <v>0.12820512820512819</v>
      </c>
    </row>
    <row r="20" spans="1:4" x14ac:dyDescent="0.2">
      <c r="A20" s="43" t="s">
        <v>18</v>
      </c>
      <c r="B20" s="43" t="s">
        <v>46</v>
      </c>
      <c r="C20" s="44">
        <v>1</v>
      </c>
      <c r="D20" s="6">
        <f t="shared" si="2"/>
        <v>1.282051282051282E-2</v>
      </c>
    </row>
    <row r="21" spans="1:4" x14ac:dyDescent="0.2">
      <c r="A21" s="43" t="s">
        <v>18</v>
      </c>
      <c r="B21" s="43" t="s">
        <v>47</v>
      </c>
      <c r="C21" s="44">
        <v>43</v>
      </c>
      <c r="D21" s="6">
        <f t="shared" si="2"/>
        <v>0.55128205128205132</v>
      </c>
    </row>
    <row r="22" spans="1:4" x14ac:dyDescent="0.2">
      <c r="A22" s="43" t="s">
        <v>18</v>
      </c>
      <c r="B22" s="43" t="s">
        <v>48</v>
      </c>
      <c r="C22" s="44">
        <v>4</v>
      </c>
      <c r="D22" s="6">
        <f t="shared" si="2"/>
        <v>5.128205128205128E-2</v>
      </c>
    </row>
    <row r="23" spans="1:4" x14ac:dyDescent="0.2">
      <c r="A23" s="43" t="s">
        <v>18</v>
      </c>
      <c r="B23" s="43" t="s">
        <v>49</v>
      </c>
      <c r="C23" s="44">
        <v>2</v>
      </c>
      <c r="D23" s="6">
        <f t="shared" si="2"/>
        <v>2.564102564102564E-2</v>
      </c>
    </row>
    <row r="24" spans="1:4" x14ac:dyDescent="0.2">
      <c r="A24" s="43" t="s">
        <v>18</v>
      </c>
      <c r="B24" s="43" t="s">
        <v>50</v>
      </c>
      <c r="C24" s="44">
        <v>4</v>
      </c>
      <c r="D24" s="6">
        <f t="shared" si="2"/>
        <v>5.128205128205128E-2</v>
      </c>
    </row>
    <row r="25" spans="1:4" x14ac:dyDescent="0.2">
      <c r="A25" s="43" t="s">
        <v>18</v>
      </c>
      <c r="B25" s="43" t="s">
        <v>51</v>
      </c>
      <c r="C25" s="44">
        <v>6</v>
      </c>
      <c r="D25" s="6">
        <f t="shared" si="2"/>
        <v>7.6923076923076927E-2</v>
      </c>
    </row>
    <row r="26" spans="1:4" x14ac:dyDescent="0.2">
      <c r="A26" s="43" t="s">
        <v>18</v>
      </c>
      <c r="B26" s="43" t="s">
        <v>52</v>
      </c>
      <c r="C26" s="44">
        <v>8</v>
      </c>
      <c r="D26" s="6">
        <f t="shared" si="2"/>
        <v>0.10256410256410256</v>
      </c>
    </row>
    <row r="27" spans="1:4" x14ac:dyDescent="0.2">
      <c r="C27" s="90">
        <f>SUM(C19:C26)</f>
        <v>78</v>
      </c>
      <c r="D27" s="92">
        <f>SUM(D19:D26)</f>
        <v>1.0000000000000002</v>
      </c>
    </row>
    <row r="29" spans="1:4" s="1" customFormat="1" x14ac:dyDescent="0.2">
      <c r="A29" s="45" t="s">
        <v>11</v>
      </c>
      <c r="B29" s="45" t="s">
        <v>176</v>
      </c>
      <c r="C29" s="45" t="s">
        <v>37</v>
      </c>
      <c r="D29" s="5" t="s">
        <v>16</v>
      </c>
    </row>
    <row r="30" spans="1:4" s="1" customFormat="1" x14ac:dyDescent="0.2">
      <c r="A30" s="46" t="s">
        <v>18</v>
      </c>
      <c r="B30" s="46" t="s">
        <v>54</v>
      </c>
      <c r="C30" s="47">
        <v>8</v>
      </c>
      <c r="D30" s="6">
        <f t="shared" ref="D30:D35" si="3">C30/78</f>
        <v>0.10256410256410256</v>
      </c>
    </row>
    <row r="31" spans="1:4" s="1" customFormat="1" x14ac:dyDescent="0.2">
      <c r="A31" s="46" t="s">
        <v>18</v>
      </c>
      <c r="B31" s="46" t="s">
        <v>55</v>
      </c>
      <c r="C31" s="47">
        <v>4</v>
      </c>
      <c r="D31" s="6">
        <f t="shared" si="3"/>
        <v>5.128205128205128E-2</v>
      </c>
    </row>
    <row r="32" spans="1:4" s="1" customFormat="1" x14ac:dyDescent="0.2">
      <c r="A32" s="46" t="s">
        <v>18</v>
      </c>
      <c r="B32" s="46" t="s">
        <v>57</v>
      </c>
      <c r="C32" s="47">
        <v>19</v>
      </c>
      <c r="D32" s="6">
        <f t="shared" si="3"/>
        <v>0.24358974358974358</v>
      </c>
    </row>
    <row r="33" spans="1:4" s="1" customFormat="1" x14ac:dyDescent="0.2">
      <c r="A33" s="46" t="s">
        <v>18</v>
      </c>
      <c r="B33" s="46" t="s">
        <v>53</v>
      </c>
      <c r="C33" s="47">
        <v>3</v>
      </c>
      <c r="D33" s="6">
        <f t="shared" si="3"/>
        <v>3.8461538461538464E-2</v>
      </c>
    </row>
    <row r="34" spans="1:4" s="1" customFormat="1" x14ac:dyDescent="0.2">
      <c r="A34" s="46" t="s">
        <v>18</v>
      </c>
      <c r="B34" s="46" t="s">
        <v>56</v>
      </c>
      <c r="C34" s="47">
        <v>37</v>
      </c>
      <c r="D34" s="6">
        <f t="shared" si="3"/>
        <v>0.47435897435897434</v>
      </c>
    </row>
    <row r="35" spans="1:4" s="1" customFormat="1" x14ac:dyDescent="0.2">
      <c r="A35" s="46" t="s">
        <v>18</v>
      </c>
      <c r="B35" s="46" t="s">
        <v>58</v>
      </c>
      <c r="C35" s="47">
        <v>7</v>
      </c>
      <c r="D35" s="6">
        <f t="shared" si="3"/>
        <v>8.9743589743589744E-2</v>
      </c>
    </row>
    <row r="36" spans="1:4" x14ac:dyDescent="0.2">
      <c r="C36" s="90">
        <f>SUM(C30:C35)</f>
        <v>78</v>
      </c>
      <c r="D36" s="92">
        <f>SUM(D30:D35)</f>
        <v>1</v>
      </c>
    </row>
    <row r="39" spans="1:4" s="12" customFormat="1" x14ac:dyDescent="0.2">
      <c r="A39" s="48" t="s">
        <v>11</v>
      </c>
      <c r="B39" s="48" t="s">
        <v>177</v>
      </c>
      <c r="C39" s="48" t="s">
        <v>37</v>
      </c>
      <c r="D39" s="5" t="s">
        <v>16</v>
      </c>
    </row>
    <row r="40" spans="1:4" s="1" customFormat="1" x14ac:dyDescent="0.2">
      <c r="A40" s="49" t="s">
        <v>18</v>
      </c>
      <c r="B40" s="49" t="s">
        <v>179</v>
      </c>
      <c r="C40" s="50">
        <v>1</v>
      </c>
      <c r="D40" s="6">
        <f t="shared" ref="D40:D46" si="4">C40/78</f>
        <v>1.282051282051282E-2</v>
      </c>
    </row>
    <row r="41" spans="1:4" s="1" customFormat="1" x14ac:dyDescent="0.2">
      <c r="A41" s="49" t="s">
        <v>18</v>
      </c>
      <c r="B41" s="49" t="s">
        <v>180</v>
      </c>
      <c r="C41" s="50">
        <v>10</v>
      </c>
      <c r="D41" s="6">
        <f t="shared" si="4"/>
        <v>0.12820512820512819</v>
      </c>
    </row>
    <row r="42" spans="1:4" s="1" customFormat="1" x14ac:dyDescent="0.2">
      <c r="A42" s="49" t="s">
        <v>18</v>
      </c>
      <c r="B42" s="49" t="s">
        <v>181</v>
      </c>
      <c r="C42" s="50">
        <v>10</v>
      </c>
      <c r="D42" s="6">
        <f t="shared" si="4"/>
        <v>0.12820512820512819</v>
      </c>
    </row>
    <row r="43" spans="1:4" s="1" customFormat="1" ht="24" x14ac:dyDescent="0.2">
      <c r="A43" s="49" t="s">
        <v>18</v>
      </c>
      <c r="B43" s="49" t="s">
        <v>214</v>
      </c>
      <c r="C43" s="50">
        <v>12</v>
      </c>
      <c r="D43" s="6">
        <f t="shared" si="4"/>
        <v>0.15384615384615385</v>
      </c>
    </row>
    <row r="44" spans="1:4" s="1" customFormat="1" x14ac:dyDescent="0.2">
      <c r="A44" s="49" t="s">
        <v>18</v>
      </c>
      <c r="B44" s="49" t="s">
        <v>182</v>
      </c>
      <c r="C44" s="50">
        <v>26</v>
      </c>
      <c r="D44" s="6">
        <f t="shared" si="4"/>
        <v>0.33333333333333331</v>
      </c>
    </row>
    <row r="45" spans="1:4" s="1" customFormat="1" x14ac:dyDescent="0.2">
      <c r="A45" s="49" t="s">
        <v>18</v>
      </c>
      <c r="B45" s="49" t="s">
        <v>215</v>
      </c>
      <c r="C45" s="50">
        <v>17</v>
      </c>
      <c r="D45" s="6">
        <f t="shared" si="4"/>
        <v>0.21794871794871795</v>
      </c>
    </row>
    <row r="46" spans="1:4" s="1" customFormat="1" x14ac:dyDescent="0.2">
      <c r="A46" s="49" t="s">
        <v>18</v>
      </c>
      <c r="B46" s="49" t="s">
        <v>33</v>
      </c>
      <c r="C46" s="50">
        <v>2</v>
      </c>
      <c r="D46" s="6">
        <f t="shared" si="4"/>
        <v>2.564102564102564E-2</v>
      </c>
    </row>
    <row r="47" spans="1:4" x14ac:dyDescent="0.2">
      <c r="C47" s="90">
        <f>SUM(C40:C46)</f>
        <v>78</v>
      </c>
      <c r="D47" s="92">
        <f>SUM(D40:D46)</f>
        <v>1</v>
      </c>
    </row>
    <row r="50" spans="1:4" x14ac:dyDescent="0.2">
      <c r="A50" s="34" t="s">
        <v>11</v>
      </c>
      <c r="B50" s="34" t="s">
        <v>183</v>
      </c>
      <c r="C50" s="34" t="s">
        <v>37</v>
      </c>
      <c r="D50" s="5" t="s">
        <v>16</v>
      </c>
    </row>
    <row r="51" spans="1:4" x14ac:dyDescent="0.2">
      <c r="A51" s="36" t="s">
        <v>18</v>
      </c>
      <c r="B51" s="36" t="s">
        <v>60</v>
      </c>
      <c r="C51" s="37">
        <v>37</v>
      </c>
      <c r="D51" s="6">
        <f>C51/78</f>
        <v>0.47435897435897434</v>
      </c>
    </row>
    <row r="53" spans="1:4" x14ac:dyDescent="0.2">
      <c r="A53" s="34" t="s">
        <v>11</v>
      </c>
      <c r="B53" s="34" t="s">
        <v>61</v>
      </c>
      <c r="C53" s="34" t="s">
        <v>37</v>
      </c>
      <c r="D53" s="5" t="s">
        <v>16</v>
      </c>
    </row>
    <row r="54" spans="1:4" x14ac:dyDescent="0.2">
      <c r="A54" s="36" t="s">
        <v>18</v>
      </c>
      <c r="B54" s="36" t="s">
        <v>216</v>
      </c>
      <c r="C54" s="37">
        <v>11</v>
      </c>
      <c r="D54" s="6">
        <f t="shared" ref="D54:D59" si="5">C54/78</f>
        <v>0.14102564102564102</v>
      </c>
    </row>
    <row r="55" spans="1:4" x14ac:dyDescent="0.2">
      <c r="A55" s="36" t="s">
        <v>18</v>
      </c>
      <c r="B55" s="36" t="s">
        <v>184</v>
      </c>
      <c r="C55" s="37">
        <v>13</v>
      </c>
      <c r="D55" s="6">
        <f t="shared" si="5"/>
        <v>0.16666666666666666</v>
      </c>
    </row>
    <row r="56" spans="1:4" x14ac:dyDescent="0.2">
      <c r="A56" s="36" t="s">
        <v>18</v>
      </c>
      <c r="B56" s="36" t="s">
        <v>185</v>
      </c>
      <c r="C56" s="37">
        <v>4</v>
      </c>
      <c r="D56" s="6">
        <f t="shared" si="5"/>
        <v>5.128205128205128E-2</v>
      </c>
    </row>
    <row r="57" spans="1:4" x14ac:dyDescent="0.2">
      <c r="A57" s="36" t="s">
        <v>18</v>
      </c>
      <c r="B57" s="36" t="s">
        <v>217</v>
      </c>
      <c r="C57" s="37">
        <v>1</v>
      </c>
      <c r="D57" s="6">
        <f t="shared" si="5"/>
        <v>1.282051282051282E-2</v>
      </c>
    </row>
    <row r="58" spans="1:4" x14ac:dyDescent="0.2">
      <c r="A58" s="36" t="s">
        <v>18</v>
      </c>
      <c r="B58" s="36" t="s">
        <v>218</v>
      </c>
      <c r="C58" s="37">
        <v>2</v>
      </c>
      <c r="D58" s="6">
        <f t="shared" si="5"/>
        <v>2.564102564102564E-2</v>
      </c>
    </row>
    <row r="59" spans="1:4" x14ac:dyDescent="0.2">
      <c r="A59" s="36" t="s">
        <v>18</v>
      </c>
      <c r="B59" s="36" t="s">
        <v>219</v>
      </c>
      <c r="C59" s="37">
        <v>10</v>
      </c>
      <c r="D59" s="6">
        <f t="shared" si="5"/>
        <v>0.12820512820512819</v>
      </c>
    </row>
    <row r="60" spans="1:4" x14ac:dyDescent="0.2">
      <c r="C60" s="90">
        <f>SUM(C54:C59)</f>
        <v>41</v>
      </c>
      <c r="D60" s="6"/>
    </row>
    <row r="62" spans="1:4" x14ac:dyDescent="0.2">
      <c r="A62" s="12"/>
      <c r="B62" s="24" t="s">
        <v>63</v>
      </c>
      <c r="C62" s="12"/>
      <c r="D62" s="12"/>
    </row>
    <row r="63" spans="1:4" x14ac:dyDescent="0.2">
      <c r="A63" s="42" t="s">
        <v>11</v>
      </c>
      <c r="B63" s="42" t="s">
        <v>64</v>
      </c>
      <c r="C63" s="42" t="s">
        <v>186</v>
      </c>
      <c r="D63" s="5" t="s">
        <v>16</v>
      </c>
    </row>
    <row r="64" spans="1:4" ht="24" x14ac:dyDescent="0.2">
      <c r="A64" s="43" t="s">
        <v>18</v>
      </c>
      <c r="B64" s="43" t="s">
        <v>65</v>
      </c>
      <c r="C64" s="44">
        <v>22</v>
      </c>
      <c r="D64" s="6">
        <f t="shared" ref="D64:D76" si="6">C64/90</f>
        <v>0.24444444444444444</v>
      </c>
    </row>
    <row r="65" spans="1:4" x14ac:dyDescent="0.2">
      <c r="A65" s="43" t="s">
        <v>18</v>
      </c>
      <c r="B65" s="43" t="s">
        <v>74</v>
      </c>
      <c r="C65" s="44">
        <v>6</v>
      </c>
      <c r="D65" s="6">
        <f t="shared" si="6"/>
        <v>6.6666666666666666E-2</v>
      </c>
    </row>
    <row r="66" spans="1:4" x14ac:dyDescent="0.2">
      <c r="A66" s="43" t="s">
        <v>18</v>
      </c>
      <c r="B66" s="43" t="s">
        <v>220</v>
      </c>
      <c r="C66" s="44">
        <v>2</v>
      </c>
      <c r="D66" s="6">
        <f t="shared" si="6"/>
        <v>2.2222222222222223E-2</v>
      </c>
    </row>
    <row r="67" spans="1:4" x14ac:dyDescent="0.2">
      <c r="A67" s="43" t="s">
        <v>18</v>
      </c>
      <c r="B67" s="43" t="s">
        <v>76</v>
      </c>
      <c r="C67" s="44">
        <v>8</v>
      </c>
      <c r="D67" s="6">
        <f t="shared" si="6"/>
        <v>8.8888888888888892E-2</v>
      </c>
    </row>
    <row r="68" spans="1:4" x14ac:dyDescent="0.2">
      <c r="A68" s="43" t="s">
        <v>18</v>
      </c>
      <c r="B68" s="43" t="s">
        <v>77</v>
      </c>
      <c r="C68" s="44">
        <v>2</v>
      </c>
      <c r="D68" s="6">
        <f t="shared" si="6"/>
        <v>2.2222222222222223E-2</v>
      </c>
    </row>
    <row r="69" spans="1:4" x14ac:dyDescent="0.2">
      <c r="A69" s="43" t="s">
        <v>18</v>
      </c>
      <c r="B69" s="43" t="s">
        <v>66</v>
      </c>
      <c r="C69" s="44">
        <v>4</v>
      </c>
      <c r="D69" s="6">
        <f t="shared" si="6"/>
        <v>4.4444444444444446E-2</v>
      </c>
    </row>
    <row r="70" spans="1:4" x14ac:dyDescent="0.2">
      <c r="A70" s="43" t="s">
        <v>18</v>
      </c>
      <c r="B70" s="43" t="s">
        <v>67</v>
      </c>
      <c r="C70" s="44">
        <v>1</v>
      </c>
      <c r="D70" s="6">
        <f t="shared" si="6"/>
        <v>1.1111111111111112E-2</v>
      </c>
    </row>
    <row r="71" spans="1:4" x14ac:dyDescent="0.2">
      <c r="A71" s="43" t="s">
        <v>18</v>
      </c>
      <c r="B71" s="43" t="s">
        <v>68</v>
      </c>
      <c r="C71" s="44">
        <v>19</v>
      </c>
      <c r="D71" s="6">
        <f t="shared" si="6"/>
        <v>0.21111111111111111</v>
      </c>
    </row>
    <row r="72" spans="1:4" x14ac:dyDescent="0.2">
      <c r="A72" s="43" t="s">
        <v>18</v>
      </c>
      <c r="B72" s="43" t="s">
        <v>69</v>
      </c>
      <c r="C72" s="44">
        <v>1</v>
      </c>
      <c r="D72" s="6">
        <f t="shared" si="6"/>
        <v>1.1111111111111112E-2</v>
      </c>
    </row>
    <row r="73" spans="1:4" x14ac:dyDescent="0.2">
      <c r="A73" s="43" t="s">
        <v>18</v>
      </c>
      <c r="B73" s="43" t="s">
        <v>70</v>
      </c>
      <c r="C73" s="44">
        <v>7</v>
      </c>
      <c r="D73" s="6">
        <f t="shared" si="6"/>
        <v>7.7777777777777779E-2</v>
      </c>
    </row>
    <row r="74" spans="1:4" x14ac:dyDescent="0.2">
      <c r="A74" s="43" t="s">
        <v>18</v>
      </c>
      <c r="B74" s="43" t="s">
        <v>71</v>
      </c>
      <c r="C74" s="44">
        <v>11</v>
      </c>
      <c r="D74" s="6">
        <f t="shared" si="6"/>
        <v>0.12222222222222222</v>
      </c>
    </row>
    <row r="75" spans="1:4" x14ac:dyDescent="0.2">
      <c r="A75" s="43" t="s">
        <v>18</v>
      </c>
      <c r="B75" s="43" t="s">
        <v>72</v>
      </c>
      <c r="C75" s="44">
        <v>6</v>
      </c>
      <c r="D75" s="6">
        <f t="shared" si="6"/>
        <v>6.6666666666666666E-2</v>
      </c>
    </row>
    <row r="76" spans="1:4" x14ac:dyDescent="0.2">
      <c r="A76" s="43" t="s">
        <v>18</v>
      </c>
      <c r="B76" s="43" t="s">
        <v>73</v>
      </c>
      <c r="C76" s="44">
        <v>1</v>
      </c>
      <c r="D76" s="6">
        <f t="shared" si="6"/>
        <v>1.1111111111111112E-2</v>
      </c>
    </row>
    <row r="77" spans="1:4" x14ac:dyDescent="0.2">
      <c r="C77" s="90">
        <f>SUM(C64:C76)</f>
        <v>90</v>
      </c>
      <c r="D77" s="92">
        <f>SUM(D64:D76)</f>
        <v>1</v>
      </c>
    </row>
    <row r="79" spans="1:4" x14ac:dyDescent="0.2">
      <c r="B79" s="24" t="s">
        <v>63</v>
      </c>
    </row>
    <row r="80" spans="1:4" x14ac:dyDescent="0.2">
      <c r="A80" s="95" t="s">
        <v>11</v>
      </c>
      <c r="B80" s="95" t="s">
        <v>187</v>
      </c>
      <c r="C80" s="95" t="s">
        <v>37</v>
      </c>
      <c r="D80" s="94" t="s">
        <v>16</v>
      </c>
    </row>
    <row r="81" spans="1:4" x14ac:dyDescent="0.2">
      <c r="A81" s="46" t="s">
        <v>18</v>
      </c>
      <c r="B81" s="46" t="s">
        <v>174</v>
      </c>
      <c r="C81" s="47">
        <v>41</v>
      </c>
      <c r="D81" s="92">
        <f>C81/129</f>
        <v>0.31782945736434109</v>
      </c>
    </row>
    <row r="82" spans="1:4" x14ac:dyDescent="0.2">
      <c r="A82" s="46" t="s">
        <v>18</v>
      </c>
      <c r="B82" s="46" t="s">
        <v>81</v>
      </c>
      <c r="C82" s="47">
        <v>41</v>
      </c>
      <c r="D82" s="92">
        <f>C82/129</f>
        <v>0.31782945736434109</v>
      </c>
    </row>
    <row r="83" spans="1:4" x14ac:dyDescent="0.2">
      <c r="A83" s="46" t="s">
        <v>18</v>
      </c>
      <c r="B83" s="46" t="s">
        <v>82</v>
      </c>
      <c r="C83" s="47">
        <v>10</v>
      </c>
      <c r="D83" s="92">
        <f>C83/129</f>
        <v>7.7519379844961239E-2</v>
      </c>
    </row>
    <row r="84" spans="1:4" x14ac:dyDescent="0.2">
      <c r="A84" s="46" t="s">
        <v>18</v>
      </c>
      <c r="B84" s="46" t="s">
        <v>83</v>
      </c>
      <c r="C84" s="47">
        <v>19</v>
      </c>
      <c r="D84" s="92">
        <f>C84/129</f>
        <v>0.14728682170542637</v>
      </c>
    </row>
    <row r="85" spans="1:4" x14ac:dyDescent="0.2">
      <c r="A85" s="46" t="s">
        <v>18</v>
      </c>
      <c r="B85" s="46" t="s">
        <v>84</v>
      </c>
      <c r="C85" s="47">
        <v>18</v>
      </c>
      <c r="D85" s="92">
        <f>C85/129</f>
        <v>0.13953488372093023</v>
      </c>
    </row>
    <row r="86" spans="1:4" x14ac:dyDescent="0.2">
      <c r="C86" s="90">
        <f>SUM(C81:C85)</f>
        <v>129</v>
      </c>
      <c r="D86" s="92">
        <f>SUM(D81:D85)</f>
        <v>1</v>
      </c>
    </row>
    <row r="88" spans="1:4" x14ac:dyDescent="0.2">
      <c r="B88" s="24" t="s">
        <v>63</v>
      </c>
    </row>
    <row r="89" spans="1:4" x14ac:dyDescent="0.2">
      <c r="A89" s="96" t="s">
        <v>11</v>
      </c>
      <c r="B89" s="96" t="s">
        <v>87</v>
      </c>
      <c r="C89" s="96" t="s">
        <v>37</v>
      </c>
      <c r="D89" s="94" t="s">
        <v>16</v>
      </c>
    </row>
    <row r="90" spans="1:4" x14ac:dyDescent="0.2">
      <c r="A90" s="49" t="s">
        <v>18</v>
      </c>
      <c r="B90" s="49" t="s">
        <v>88</v>
      </c>
      <c r="C90" s="50">
        <v>10</v>
      </c>
      <c r="D90" s="92">
        <f t="shared" ref="D90:D95" si="7">C90/40</f>
        <v>0.25</v>
      </c>
    </row>
    <row r="91" spans="1:4" x14ac:dyDescent="0.2">
      <c r="A91" s="49" t="s">
        <v>18</v>
      </c>
      <c r="B91" s="49" t="s">
        <v>89</v>
      </c>
      <c r="C91" s="50">
        <v>1</v>
      </c>
      <c r="D91" s="92">
        <f t="shared" si="7"/>
        <v>2.5000000000000001E-2</v>
      </c>
    </row>
    <row r="92" spans="1:4" ht="24" x14ac:dyDescent="0.2">
      <c r="A92" s="49" t="s">
        <v>18</v>
      </c>
      <c r="B92" s="49" t="s">
        <v>90</v>
      </c>
      <c r="C92" s="50">
        <v>1</v>
      </c>
      <c r="D92" s="92">
        <f t="shared" si="7"/>
        <v>2.5000000000000001E-2</v>
      </c>
    </row>
    <row r="93" spans="1:4" x14ac:dyDescent="0.2">
      <c r="A93" s="49" t="s">
        <v>18</v>
      </c>
      <c r="B93" s="49" t="s">
        <v>91</v>
      </c>
      <c r="C93" s="50">
        <v>6</v>
      </c>
      <c r="D93" s="92">
        <f t="shared" si="7"/>
        <v>0.15</v>
      </c>
    </row>
    <row r="94" spans="1:4" ht="24" x14ac:dyDescent="0.2">
      <c r="A94" s="49" t="s">
        <v>18</v>
      </c>
      <c r="B94" s="49" t="s">
        <v>92</v>
      </c>
      <c r="C94" s="50">
        <v>8</v>
      </c>
      <c r="D94" s="92">
        <f t="shared" si="7"/>
        <v>0.2</v>
      </c>
    </row>
    <row r="95" spans="1:4" x14ac:dyDescent="0.2">
      <c r="A95" s="49" t="s">
        <v>18</v>
      </c>
      <c r="B95" s="49" t="s">
        <v>93</v>
      </c>
      <c r="C95" s="50">
        <v>14</v>
      </c>
      <c r="D95" s="92">
        <f t="shared" si="7"/>
        <v>0.35</v>
      </c>
    </row>
    <row r="96" spans="1:4" x14ac:dyDescent="0.2">
      <c r="A96" s="49"/>
      <c r="B96" s="49"/>
      <c r="C96" s="50">
        <f>SUM(C90:C95)</f>
        <v>40</v>
      </c>
      <c r="D96" s="92">
        <f>SUM(D90:D95)</f>
        <v>1</v>
      </c>
    </row>
    <row r="98" spans="1:5" x14ac:dyDescent="0.2">
      <c r="B98" s="24" t="s">
        <v>63</v>
      </c>
    </row>
    <row r="99" spans="1:5" x14ac:dyDescent="0.2">
      <c r="A99" s="97" t="s">
        <v>11</v>
      </c>
      <c r="B99" s="97" t="s">
        <v>188</v>
      </c>
      <c r="C99" s="97" t="s">
        <v>37</v>
      </c>
      <c r="D99" s="94" t="s">
        <v>16</v>
      </c>
    </row>
    <row r="100" spans="1:5" ht="24" x14ac:dyDescent="0.2">
      <c r="A100" s="52" t="s">
        <v>18</v>
      </c>
      <c r="B100" s="52" t="s">
        <v>98</v>
      </c>
      <c r="C100" s="53">
        <v>40</v>
      </c>
      <c r="D100" s="92">
        <f t="shared" ref="D100:D106" si="8">C100/124</f>
        <v>0.32258064516129031</v>
      </c>
    </row>
    <row r="101" spans="1:5" x14ac:dyDescent="0.2">
      <c r="A101" s="52" t="s">
        <v>18</v>
      </c>
      <c r="B101" s="52" t="s">
        <v>99</v>
      </c>
      <c r="C101" s="53">
        <v>20</v>
      </c>
      <c r="D101" s="92">
        <f t="shared" si="8"/>
        <v>0.16129032258064516</v>
      </c>
    </row>
    <row r="102" spans="1:5" x14ac:dyDescent="0.2">
      <c r="A102" s="52" t="s">
        <v>18</v>
      </c>
      <c r="B102" s="52" t="s">
        <v>100</v>
      </c>
      <c r="C102" s="53">
        <v>5</v>
      </c>
      <c r="D102" s="92">
        <f t="shared" si="8"/>
        <v>4.0322580645161289E-2</v>
      </c>
    </row>
    <row r="103" spans="1:5" x14ac:dyDescent="0.2">
      <c r="A103" s="52" t="s">
        <v>18</v>
      </c>
      <c r="B103" s="52" t="s">
        <v>101</v>
      </c>
      <c r="C103" s="53">
        <v>11</v>
      </c>
      <c r="D103" s="92">
        <f t="shared" si="8"/>
        <v>8.8709677419354843E-2</v>
      </c>
    </row>
    <row r="104" spans="1:5" x14ac:dyDescent="0.2">
      <c r="A104" s="52" t="s">
        <v>18</v>
      </c>
      <c r="B104" s="52" t="s">
        <v>102</v>
      </c>
      <c r="C104" s="53">
        <v>14</v>
      </c>
      <c r="D104" s="92">
        <f t="shared" si="8"/>
        <v>0.11290322580645161</v>
      </c>
    </row>
    <row r="105" spans="1:5" x14ac:dyDescent="0.2">
      <c r="A105" s="52" t="s">
        <v>18</v>
      </c>
      <c r="B105" s="52" t="s">
        <v>103</v>
      </c>
      <c r="C105" s="53">
        <v>13</v>
      </c>
      <c r="D105" s="92">
        <f t="shared" si="8"/>
        <v>0.10483870967741936</v>
      </c>
    </row>
    <row r="106" spans="1:5" x14ac:dyDescent="0.2">
      <c r="A106" s="52" t="s">
        <v>18</v>
      </c>
      <c r="B106" s="52" t="s">
        <v>104</v>
      </c>
      <c r="C106" s="53">
        <v>21</v>
      </c>
      <c r="D106" s="92">
        <f t="shared" si="8"/>
        <v>0.16935483870967741</v>
      </c>
    </row>
    <row r="107" spans="1:5" x14ac:dyDescent="0.2">
      <c r="C107" s="90">
        <f>SUM(C100:C106)</f>
        <v>124</v>
      </c>
      <c r="D107" s="92">
        <f>SUM(D100:D106)</f>
        <v>1</v>
      </c>
    </row>
    <row r="110" spans="1:5" ht="24" x14ac:dyDescent="0.2">
      <c r="A110" s="54" t="s">
        <v>11</v>
      </c>
      <c r="B110" s="54" t="s">
        <v>202</v>
      </c>
      <c r="C110" s="5" t="s">
        <v>203</v>
      </c>
      <c r="D110" s="94" t="s">
        <v>3</v>
      </c>
      <c r="E110" s="5" t="s">
        <v>10</v>
      </c>
    </row>
    <row r="111" spans="1:5" x14ac:dyDescent="0.2">
      <c r="A111" s="46" t="s">
        <v>18</v>
      </c>
      <c r="B111" s="47">
        <v>32</v>
      </c>
      <c r="C111" s="90">
        <v>1</v>
      </c>
      <c r="D111" s="90">
        <f>SUM(B111:C111)</f>
        <v>33</v>
      </c>
      <c r="E111" s="90">
        <v>1</v>
      </c>
    </row>
    <row r="114" spans="1:4" s="1" customFormat="1" x14ac:dyDescent="0.2">
      <c r="A114" s="55" t="s">
        <v>11</v>
      </c>
      <c r="B114" s="55" t="s">
        <v>189</v>
      </c>
      <c r="C114" s="56" t="s">
        <v>37</v>
      </c>
      <c r="D114" s="5" t="s">
        <v>16</v>
      </c>
    </row>
    <row r="115" spans="1:4" x14ac:dyDescent="0.2">
      <c r="A115" s="57" t="s">
        <v>18</v>
      </c>
      <c r="B115" s="57" t="s">
        <v>60</v>
      </c>
      <c r="C115" s="58">
        <v>29</v>
      </c>
      <c r="D115" s="6">
        <f>C115/78</f>
        <v>0.37179487179487181</v>
      </c>
    </row>
    <row r="119" spans="1:4" ht="36" x14ac:dyDescent="0.2">
      <c r="A119" s="59" t="s">
        <v>11</v>
      </c>
      <c r="B119" s="59" t="s">
        <v>190</v>
      </c>
      <c r="C119" s="59" t="s">
        <v>37</v>
      </c>
      <c r="D119" s="5" t="s">
        <v>221</v>
      </c>
    </row>
    <row r="120" spans="1:4" x14ac:dyDescent="0.2">
      <c r="A120" s="60" t="s">
        <v>18</v>
      </c>
      <c r="B120" s="60" t="s">
        <v>60</v>
      </c>
      <c r="C120" s="61">
        <v>12</v>
      </c>
      <c r="D120" s="90">
        <v>0</v>
      </c>
    </row>
    <row r="123" spans="1:4" x14ac:dyDescent="0.2">
      <c r="A123" s="62" t="s">
        <v>11</v>
      </c>
      <c r="B123" s="62" t="s">
        <v>191</v>
      </c>
      <c r="C123" s="62" t="s">
        <v>37</v>
      </c>
      <c r="D123" s="5" t="s">
        <v>16</v>
      </c>
    </row>
    <row r="124" spans="1:4" x14ac:dyDescent="0.2">
      <c r="A124" s="63" t="s">
        <v>18</v>
      </c>
      <c r="B124" s="63" t="s">
        <v>60</v>
      </c>
      <c r="C124" s="64">
        <v>20</v>
      </c>
      <c r="D124" s="6">
        <f>C124/78</f>
        <v>0.25641025641025639</v>
      </c>
    </row>
    <row r="126" spans="1:4" ht="24" x14ac:dyDescent="0.2">
      <c r="A126" s="98" t="s">
        <v>11</v>
      </c>
      <c r="B126" s="98" t="s">
        <v>222</v>
      </c>
      <c r="C126" s="98" t="s">
        <v>37</v>
      </c>
      <c r="D126" s="5" t="s">
        <v>223</v>
      </c>
    </row>
    <row r="127" spans="1:4" x14ac:dyDescent="0.2">
      <c r="A127" s="99" t="s">
        <v>18</v>
      </c>
      <c r="B127" s="99" t="s">
        <v>60</v>
      </c>
      <c r="C127" s="100">
        <v>16</v>
      </c>
      <c r="D127" s="6">
        <f>C127/20</f>
        <v>0.8</v>
      </c>
    </row>
    <row r="129" spans="1:4" x14ac:dyDescent="0.2">
      <c r="A129" s="65" t="s">
        <v>11</v>
      </c>
      <c r="B129" s="65" t="s">
        <v>192</v>
      </c>
      <c r="C129" s="65" t="s">
        <v>37</v>
      </c>
      <c r="D129" s="5" t="s">
        <v>16</v>
      </c>
    </row>
    <row r="130" spans="1:4" x14ac:dyDescent="0.2">
      <c r="A130" s="66" t="s">
        <v>18</v>
      </c>
      <c r="B130" s="66" t="s">
        <v>60</v>
      </c>
      <c r="C130" s="67">
        <v>12</v>
      </c>
      <c r="D130" s="6">
        <f>C130/78</f>
        <v>0.15384615384615385</v>
      </c>
    </row>
    <row r="132" spans="1:4" ht="24" x14ac:dyDescent="0.2">
      <c r="A132" s="65" t="s">
        <v>11</v>
      </c>
      <c r="B132" s="65" t="s">
        <v>224</v>
      </c>
      <c r="C132" s="65" t="s">
        <v>37</v>
      </c>
      <c r="D132" s="5" t="s">
        <v>225</v>
      </c>
    </row>
    <row r="133" spans="1:4" x14ac:dyDescent="0.2">
      <c r="A133" s="66" t="s">
        <v>18</v>
      </c>
      <c r="B133" s="66" t="s">
        <v>115</v>
      </c>
      <c r="C133" s="67">
        <v>11</v>
      </c>
      <c r="D133" s="6">
        <f>C133/12</f>
        <v>0.91666666666666663</v>
      </c>
    </row>
    <row r="134" spans="1:4" x14ac:dyDescent="0.2">
      <c r="A134" s="90" t="s">
        <v>18</v>
      </c>
      <c r="B134" s="90" t="s">
        <v>33</v>
      </c>
      <c r="C134" s="90">
        <v>1</v>
      </c>
      <c r="D134" s="6">
        <f>C134/12</f>
        <v>8.3333333333333329E-2</v>
      </c>
    </row>
    <row r="135" spans="1:4" x14ac:dyDescent="0.2">
      <c r="D135" s="6"/>
    </row>
    <row r="136" spans="1:4" ht="24" x14ac:dyDescent="0.2">
      <c r="A136" s="101" t="s">
        <v>11</v>
      </c>
      <c r="B136" s="101" t="s">
        <v>251</v>
      </c>
      <c r="C136" s="5" t="s">
        <v>16</v>
      </c>
      <c r="D136" s="6"/>
    </row>
    <row r="137" spans="1:4" x14ac:dyDescent="0.2">
      <c r="A137" s="102" t="s">
        <v>18</v>
      </c>
      <c r="B137" s="103">
        <v>32</v>
      </c>
      <c r="C137" s="6">
        <f>B137/78</f>
        <v>0.41025641025641024</v>
      </c>
      <c r="D137" s="6"/>
    </row>
    <row r="138" spans="1:4" x14ac:dyDescent="0.2">
      <c r="D138" s="6"/>
    </row>
    <row r="139" spans="1:4" x14ac:dyDescent="0.2">
      <c r="D139" s="6"/>
    </row>
    <row r="140" spans="1:4" x14ac:dyDescent="0.2">
      <c r="B140" s="104" t="s">
        <v>63</v>
      </c>
    </row>
    <row r="141" spans="1:4" ht="24" x14ac:dyDescent="0.2">
      <c r="A141" s="68" t="s">
        <v>11</v>
      </c>
      <c r="B141" s="68" t="s">
        <v>193</v>
      </c>
      <c r="C141" s="68" t="s">
        <v>37</v>
      </c>
      <c r="D141" s="5" t="s">
        <v>227</v>
      </c>
    </row>
    <row r="142" spans="1:4" x14ac:dyDescent="0.2">
      <c r="A142" s="69" t="s">
        <v>18</v>
      </c>
      <c r="B142" s="69" t="s">
        <v>117</v>
      </c>
      <c r="C142" s="70">
        <v>12</v>
      </c>
      <c r="D142" s="92">
        <f>C142/32</f>
        <v>0.375</v>
      </c>
    </row>
    <row r="143" spans="1:4" x14ac:dyDescent="0.2">
      <c r="A143" s="69" t="s">
        <v>18</v>
      </c>
      <c r="B143" s="69" t="s">
        <v>118</v>
      </c>
      <c r="C143" s="70">
        <v>7</v>
      </c>
      <c r="D143" s="92">
        <f>C143/32</f>
        <v>0.21875</v>
      </c>
    </row>
    <row r="144" spans="1:4" x14ac:dyDescent="0.2">
      <c r="A144" s="69" t="s">
        <v>18</v>
      </c>
      <c r="B144" s="69" t="s">
        <v>119</v>
      </c>
      <c r="C144" s="70">
        <v>8</v>
      </c>
      <c r="D144" s="92">
        <f>C144/32</f>
        <v>0.25</v>
      </c>
    </row>
    <row r="145" spans="1:6" x14ac:dyDescent="0.2">
      <c r="A145" s="69" t="s">
        <v>18</v>
      </c>
      <c r="B145" s="69" t="s">
        <v>120</v>
      </c>
      <c r="C145" s="70">
        <v>3</v>
      </c>
      <c r="D145" s="92">
        <f>C145/32</f>
        <v>9.375E-2</v>
      </c>
    </row>
    <row r="146" spans="1:6" x14ac:dyDescent="0.2">
      <c r="A146" s="69" t="s">
        <v>18</v>
      </c>
      <c r="B146" s="69" t="s">
        <v>122</v>
      </c>
      <c r="C146" s="70">
        <v>2</v>
      </c>
      <c r="D146" s="92">
        <f>C146/32</f>
        <v>6.25E-2</v>
      </c>
    </row>
    <row r="147" spans="1:6" x14ac:dyDescent="0.2">
      <c r="C147" s="90">
        <f>SUM(C142:C146)</f>
        <v>32</v>
      </c>
      <c r="D147" s="92">
        <f>SUM(D142:D146)</f>
        <v>1</v>
      </c>
    </row>
    <row r="149" spans="1:6" ht="24" x14ac:dyDescent="0.2">
      <c r="A149" s="71" t="s">
        <v>11</v>
      </c>
      <c r="B149" s="71" t="s">
        <v>124</v>
      </c>
      <c r="C149" s="71" t="s">
        <v>175</v>
      </c>
      <c r="D149" s="71" t="s">
        <v>194</v>
      </c>
      <c r="E149" s="71" t="s">
        <v>150</v>
      </c>
      <c r="F149" s="71" t="s">
        <v>16</v>
      </c>
    </row>
    <row r="150" spans="1:6" s="106" customFormat="1" x14ac:dyDescent="0.2">
      <c r="A150" s="105" t="s">
        <v>18</v>
      </c>
      <c r="B150" s="105" t="s">
        <v>195</v>
      </c>
      <c r="C150" s="105">
        <v>0</v>
      </c>
      <c r="D150" s="105">
        <v>1</v>
      </c>
      <c r="E150" s="105">
        <f t="shared" ref="E150:E157" si="9">SUM(C150:D150)</f>
        <v>1</v>
      </c>
      <c r="F150" s="92">
        <f t="shared" ref="F150:F157" si="10">E150/83</f>
        <v>1.2048192771084338E-2</v>
      </c>
    </row>
    <row r="151" spans="1:6" x14ac:dyDescent="0.2">
      <c r="A151" s="76" t="s">
        <v>18</v>
      </c>
      <c r="B151" s="76" t="s">
        <v>128</v>
      </c>
      <c r="C151" s="77">
        <v>4</v>
      </c>
      <c r="D151" s="90">
        <v>1</v>
      </c>
      <c r="E151" s="105">
        <f t="shared" si="9"/>
        <v>5</v>
      </c>
      <c r="F151" s="92">
        <f t="shared" si="10"/>
        <v>6.0240963855421686E-2</v>
      </c>
    </row>
    <row r="152" spans="1:6" x14ac:dyDescent="0.2">
      <c r="A152" s="76" t="s">
        <v>18</v>
      </c>
      <c r="B152" s="76" t="s">
        <v>129</v>
      </c>
      <c r="C152" s="77">
        <v>19</v>
      </c>
      <c r="D152" s="90">
        <v>1</v>
      </c>
      <c r="E152" s="105">
        <f t="shared" si="9"/>
        <v>20</v>
      </c>
      <c r="F152" s="92">
        <f t="shared" si="10"/>
        <v>0.24096385542168675</v>
      </c>
    </row>
    <row r="153" spans="1:6" x14ac:dyDescent="0.2">
      <c r="A153" s="76" t="s">
        <v>18</v>
      </c>
      <c r="B153" s="76" t="s">
        <v>130</v>
      </c>
      <c r="C153" s="77">
        <v>16</v>
      </c>
      <c r="D153" s="90">
        <v>1</v>
      </c>
      <c r="E153" s="105">
        <f t="shared" si="9"/>
        <v>17</v>
      </c>
      <c r="F153" s="92">
        <f t="shared" si="10"/>
        <v>0.20481927710843373</v>
      </c>
    </row>
    <row r="154" spans="1:6" x14ac:dyDescent="0.2">
      <c r="A154" s="76" t="s">
        <v>18</v>
      </c>
      <c r="B154" s="76" t="s">
        <v>131</v>
      </c>
      <c r="C154" s="77">
        <v>15</v>
      </c>
      <c r="D154" s="90">
        <v>1</v>
      </c>
      <c r="E154" s="105">
        <f t="shared" si="9"/>
        <v>16</v>
      </c>
      <c r="F154" s="92">
        <f t="shared" si="10"/>
        <v>0.19277108433734941</v>
      </c>
    </row>
    <row r="155" spans="1:6" x14ac:dyDescent="0.2">
      <c r="A155" s="76" t="s">
        <v>18</v>
      </c>
      <c r="B155" s="76" t="s">
        <v>132</v>
      </c>
      <c r="C155" s="77">
        <v>20</v>
      </c>
      <c r="E155" s="105">
        <f t="shared" si="9"/>
        <v>20</v>
      </c>
      <c r="F155" s="92">
        <f t="shared" si="10"/>
        <v>0.24096385542168675</v>
      </c>
    </row>
    <row r="156" spans="1:6" x14ac:dyDescent="0.2">
      <c r="A156" s="76" t="s">
        <v>18</v>
      </c>
      <c r="B156" s="76" t="s">
        <v>133</v>
      </c>
      <c r="C156" s="77">
        <v>3</v>
      </c>
      <c r="E156" s="105">
        <f t="shared" si="9"/>
        <v>3</v>
      </c>
      <c r="F156" s="92">
        <f t="shared" si="10"/>
        <v>3.614457831325301E-2</v>
      </c>
    </row>
    <row r="157" spans="1:6" x14ac:dyDescent="0.2">
      <c r="A157" s="76" t="s">
        <v>18</v>
      </c>
      <c r="B157" s="76" t="s">
        <v>134</v>
      </c>
      <c r="C157" s="77">
        <v>1</v>
      </c>
      <c r="E157" s="105">
        <f t="shared" si="9"/>
        <v>1</v>
      </c>
      <c r="F157" s="92">
        <f t="shared" si="10"/>
        <v>1.2048192771084338E-2</v>
      </c>
    </row>
    <row r="158" spans="1:6" x14ac:dyDescent="0.2">
      <c r="C158" s="90">
        <f>SUM(C151:C157)</f>
        <v>78</v>
      </c>
      <c r="D158" s="90">
        <f>SUM(D150:D157)</f>
        <v>5</v>
      </c>
      <c r="E158" s="90">
        <f>SUM(E150:E157)</f>
        <v>83</v>
      </c>
      <c r="F158" s="92">
        <f>SUM(F150:F157)</f>
        <v>1</v>
      </c>
    </row>
    <row r="160" spans="1:6" ht="24" x14ac:dyDescent="0.2">
      <c r="A160" s="78" t="s">
        <v>11</v>
      </c>
      <c r="B160" s="78" t="s">
        <v>135</v>
      </c>
      <c r="C160" s="78" t="s">
        <v>196</v>
      </c>
      <c r="D160" s="78" t="s">
        <v>197</v>
      </c>
      <c r="E160" s="78" t="s">
        <v>3</v>
      </c>
      <c r="F160" s="78" t="s">
        <v>16</v>
      </c>
    </row>
    <row r="161" spans="1:6" x14ac:dyDescent="0.2">
      <c r="A161" s="79" t="s">
        <v>18</v>
      </c>
      <c r="B161" s="79" t="s">
        <v>137</v>
      </c>
      <c r="C161" s="80">
        <v>69</v>
      </c>
      <c r="D161" s="90">
        <v>5</v>
      </c>
      <c r="E161" s="90">
        <f>SUM(C161:D161)</f>
        <v>74</v>
      </c>
      <c r="F161" s="92">
        <f>E161/83</f>
        <v>0.89156626506024095</v>
      </c>
    </row>
    <row r="162" spans="1:6" x14ac:dyDescent="0.2">
      <c r="A162" s="79" t="s">
        <v>18</v>
      </c>
      <c r="B162" s="79" t="s">
        <v>138</v>
      </c>
      <c r="C162" s="80">
        <v>3</v>
      </c>
      <c r="D162" s="90">
        <v>0</v>
      </c>
      <c r="E162" s="90">
        <f>SUM(C162:D162)</f>
        <v>3</v>
      </c>
      <c r="F162" s="92">
        <f>E162/83</f>
        <v>3.614457831325301E-2</v>
      </c>
    </row>
    <row r="163" spans="1:6" x14ac:dyDescent="0.2">
      <c r="A163" s="79" t="s">
        <v>18</v>
      </c>
      <c r="B163" s="79" t="s">
        <v>139</v>
      </c>
      <c r="C163" s="80">
        <v>1</v>
      </c>
      <c r="D163" s="90">
        <v>0</v>
      </c>
      <c r="E163" s="90">
        <f>SUM(C163:D163)</f>
        <v>1</v>
      </c>
      <c r="F163" s="92">
        <f>E163/83</f>
        <v>1.2048192771084338E-2</v>
      </c>
    </row>
    <row r="164" spans="1:6" x14ac:dyDescent="0.2">
      <c r="A164" s="79" t="s">
        <v>18</v>
      </c>
      <c r="B164" s="79" t="s">
        <v>140</v>
      </c>
      <c r="C164" s="80">
        <v>3</v>
      </c>
      <c r="D164" s="90">
        <v>0</v>
      </c>
      <c r="E164" s="90">
        <f>SUM(C164:D164)</f>
        <v>3</v>
      </c>
      <c r="F164" s="92">
        <f>E164/83</f>
        <v>3.614457831325301E-2</v>
      </c>
    </row>
    <row r="165" spans="1:6" x14ac:dyDescent="0.2">
      <c r="A165" s="79" t="s">
        <v>18</v>
      </c>
      <c r="B165" s="79" t="s">
        <v>142</v>
      </c>
      <c r="C165" s="80">
        <v>2</v>
      </c>
      <c r="D165" s="90">
        <v>0</v>
      </c>
      <c r="E165" s="90">
        <f>SUM(C165:D165)</f>
        <v>2</v>
      </c>
      <c r="F165" s="92">
        <f>E165/83</f>
        <v>2.4096385542168676E-2</v>
      </c>
    </row>
    <row r="166" spans="1:6" x14ac:dyDescent="0.2">
      <c r="C166" s="90">
        <f>SUM(C161:C165)</f>
        <v>78</v>
      </c>
      <c r="D166" s="90">
        <f>SUM(D161:D165)</f>
        <v>5</v>
      </c>
      <c r="E166" s="90">
        <f>SUM(E161:E165)</f>
        <v>83</v>
      </c>
      <c r="F166" s="92">
        <f>SUM(F161:F165)</f>
        <v>1</v>
      </c>
    </row>
    <row r="168" spans="1:6" ht="24" x14ac:dyDescent="0.2">
      <c r="A168" s="78" t="s">
        <v>11</v>
      </c>
      <c r="B168" s="78" t="s">
        <v>198</v>
      </c>
      <c r="C168" s="78" t="s">
        <v>196</v>
      </c>
      <c r="D168" s="78" t="s">
        <v>197</v>
      </c>
      <c r="E168" s="78" t="s">
        <v>3</v>
      </c>
      <c r="F168" s="78" t="s">
        <v>16</v>
      </c>
    </row>
    <row r="169" spans="1:6" x14ac:dyDescent="0.2">
      <c r="A169" s="107" t="s">
        <v>18</v>
      </c>
      <c r="B169" s="107" t="s">
        <v>60</v>
      </c>
      <c r="C169" s="108">
        <v>20</v>
      </c>
      <c r="D169" s="90">
        <v>1</v>
      </c>
      <c r="E169" s="90">
        <f>SUM(C169:D169)</f>
        <v>21</v>
      </c>
      <c r="F169" s="92">
        <f>E169/83</f>
        <v>0.25301204819277107</v>
      </c>
    </row>
    <row r="172" spans="1:6" ht="24" x14ac:dyDescent="0.2">
      <c r="A172" s="82" t="s">
        <v>11</v>
      </c>
      <c r="B172" s="82" t="s">
        <v>199</v>
      </c>
      <c r="C172" s="82" t="s">
        <v>200</v>
      </c>
      <c r="D172" s="5" t="s">
        <v>125</v>
      </c>
      <c r="E172" s="82" t="s">
        <v>3</v>
      </c>
      <c r="F172" s="82" t="s">
        <v>16</v>
      </c>
    </row>
    <row r="173" spans="1:6" x14ac:dyDescent="0.2">
      <c r="A173" s="83" t="s">
        <v>18</v>
      </c>
      <c r="B173" s="83" t="s">
        <v>145</v>
      </c>
      <c r="C173" s="84">
        <v>59</v>
      </c>
      <c r="D173" s="84">
        <v>2</v>
      </c>
      <c r="E173" s="84">
        <f>SUM(C173:D173)</f>
        <v>61</v>
      </c>
      <c r="F173" s="92">
        <f>E173/83</f>
        <v>0.73493975903614461</v>
      </c>
    </row>
    <row r="174" spans="1:6" x14ac:dyDescent="0.2">
      <c r="A174" s="83" t="s">
        <v>18</v>
      </c>
      <c r="B174" s="83" t="s">
        <v>146</v>
      </c>
      <c r="C174" s="84">
        <v>19</v>
      </c>
      <c r="D174" s="84">
        <v>3</v>
      </c>
      <c r="E174" s="84">
        <f>SUM(C174:D174)</f>
        <v>22</v>
      </c>
      <c r="F174" s="92">
        <f>E174/83</f>
        <v>0.26506024096385544</v>
      </c>
    </row>
    <row r="175" spans="1:6" x14ac:dyDescent="0.2">
      <c r="C175" s="90">
        <f>SUM(C173:C174)</f>
        <v>78</v>
      </c>
      <c r="D175" s="90">
        <f>SUM(D173:D174)</f>
        <v>5</v>
      </c>
      <c r="E175" s="90">
        <f>SUM(E173:E174)</f>
        <v>83</v>
      </c>
    </row>
    <row r="177" spans="1:6" ht="24" x14ac:dyDescent="0.2">
      <c r="A177" s="12"/>
      <c r="B177" s="3" t="s">
        <v>204</v>
      </c>
      <c r="C177" s="12"/>
      <c r="D177" s="12"/>
      <c r="E177" s="12"/>
    </row>
    <row r="178" spans="1:6" ht="24" x14ac:dyDescent="0.2">
      <c r="A178" s="85" t="s">
        <v>11</v>
      </c>
      <c r="B178" s="85" t="s">
        <v>205</v>
      </c>
      <c r="C178" s="85" t="s">
        <v>206</v>
      </c>
      <c r="D178" s="85" t="s">
        <v>207</v>
      </c>
      <c r="E178" s="5" t="s">
        <v>16</v>
      </c>
      <c r="F178" s="85" t="s">
        <v>208</v>
      </c>
    </row>
    <row r="179" spans="1:6" ht="15" x14ac:dyDescent="0.25">
      <c r="A179" s="109" t="s">
        <v>18</v>
      </c>
      <c r="B179" s="109" t="s">
        <v>226</v>
      </c>
      <c r="C179" s="110">
        <v>5</v>
      </c>
      <c r="D179" s="110">
        <v>72</v>
      </c>
      <c r="E179" s="92">
        <f>D179/402</f>
        <v>0.17910447761194029</v>
      </c>
      <c r="F179" s="110">
        <v>91</v>
      </c>
    </row>
    <row r="180" spans="1:6" ht="15" x14ac:dyDescent="0.25">
      <c r="A180" s="109" t="s">
        <v>18</v>
      </c>
      <c r="B180" s="109" t="s">
        <v>209</v>
      </c>
      <c r="C180" s="110">
        <v>3</v>
      </c>
      <c r="D180" s="110">
        <v>255</v>
      </c>
      <c r="E180" s="92">
        <f>D180/402</f>
        <v>0.63432835820895528</v>
      </c>
      <c r="F180" s="110">
        <v>262</v>
      </c>
    </row>
    <row r="181" spans="1:6" ht="15" x14ac:dyDescent="0.25">
      <c r="A181" s="109" t="s">
        <v>18</v>
      </c>
      <c r="B181" s="109" t="s">
        <v>210</v>
      </c>
      <c r="C181" s="110">
        <v>2</v>
      </c>
      <c r="D181" s="110">
        <v>21</v>
      </c>
      <c r="E181" s="92">
        <f>D181/402</f>
        <v>5.2238805970149252E-2</v>
      </c>
      <c r="F181" s="110">
        <v>21</v>
      </c>
    </row>
    <row r="182" spans="1:6" ht="15" x14ac:dyDescent="0.25">
      <c r="A182" s="109" t="s">
        <v>18</v>
      </c>
      <c r="B182" s="109" t="s">
        <v>211</v>
      </c>
      <c r="C182" s="110">
        <v>2</v>
      </c>
      <c r="D182" s="110">
        <v>54</v>
      </c>
      <c r="E182" s="92">
        <f>D182/402</f>
        <v>0.13432835820895522</v>
      </c>
      <c r="F182" s="110">
        <v>54</v>
      </c>
    </row>
    <row r="183" spans="1:6" x14ac:dyDescent="0.2">
      <c r="C183" s="90">
        <f>SUM(C179:C182)</f>
        <v>12</v>
      </c>
      <c r="D183" s="90">
        <f>SUM(D179:D182)</f>
        <v>402</v>
      </c>
      <c r="E183" s="92">
        <f>SUM(E179:E182)</f>
        <v>1</v>
      </c>
      <c r="F183" s="90">
        <f>SUM(F179:F182)</f>
        <v>428</v>
      </c>
    </row>
    <row r="184" spans="1:6" x14ac:dyDescent="0.2">
      <c r="F184" s="92">
        <f>D183/F183</f>
        <v>0.93925233644859818</v>
      </c>
    </row>
  </sheetData>
  <printOptions horizontalCentered="1"/>
  <pageMargins left="0.7" right="0.7" top="0.75" bottom="0.75" header="0.3" footer="0.3"/>
  <pageSetup orientation="portrait" horizontalDpi="4294967293" verticalDpi="4294967293" r:id="rId1"/>
  <headerFooter>
    <oddHeader>&amp;L&amp;"-,Bold"&amp;8Cochise County&amp;C&amp;"-,Bold"&amp;8AZ Balance of State
Continuum of Care
2018 Point In Time Data Report &amp;R&amp;"-,Bold"&amp;8&amp;P of &amp;N
&amp;D</oddHeader>
  </headerFooter>
  <rowBreaks count="1" manualBreakCount="1">
    <brk id="5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zoomScale="130" zoomScaleNormal="130" workbookViewId="0">
      <selection activeCell="E1" sqref="E1"/>
    </sheetView>
  </sheetViews>
  <sheetFormatPr defaultColWidth="9.140625" defaultRowHeight="12" x14ac:dyDescent="0.2"/>
  <cols>
    <col min="1" max="1" width="9.140625" style="90"/>
    <col min="2" max="2" width="23.7109375" style="90" customWidth="1"/>
    <col min="3" max="3" width="13.5703125" style="90" customWidth="1"/>
    <col min="4" max="4" width="10" style="90" bestFit="1" customWidth="1"/>
    <col min="5" max="16384" width="9.140625" style="90"/>
  </cols>
  <sheetData>
    <row r="1" spans="1:4" x14ac:dyDescent="0.2">
      <c r="A1" s="88" t="s">
        <v>11</v>
      </c>
      <c r="B1" s="88" t="s">
        <v>175</v>
      </c>
      <c r="C1" s="91" t="s">
        <v>228</v>
      </c>
    </row>
    <row r="2" spans="1:4" x14ac:dyDescent="0.2">
      <c r="A2" s="36" t="s">
        <v>19</v>
      </c>
      <c r="B2" s="37">
        <v>86</v>
      </c>
      <c r="C2" s="90">
        <v>32</v>
      </c>
      <c r="D2" s="90">
        <f>SUM(B2:C2)</f>
        <v>118</v>
      </c>
    </row>
    <row r="5" spans="1:4" x14ac:dyDescent="0.2">
      <c r="A5" s="111" t="s">
        <v>11</v>
      </c>
      <c r="B5" s="111" t="s">
        <v>30</v>
      </c>
      <c r="C5" s="88" t="s">
        <v>232</v>
      </c>
      <c r="D5" s="91" t="s">
        <v>16</v>
      </c>
    </row>
    <row r="6" spans="1:4" x14ac:dyDescent="0.2">
      <c r="A6" s="36" t="s">
        <v>19</v>
      </c>
      <c r="B6" s="36" t="s">
        <v>229</v>
      </c>
      <c r="C6" s="37">
        <v>74</v>
      </c>
      <c r="D6" s="92">
        <f>C6/86</f>
        <v>0.86046511627906974</v>
      </c>
    </row>
    <row r="7" spans="1:4" x14ac:dyDescent="0.2">
      <c r="A7" s="36" t="s">
        <v>19</v>
      </c>
      <c r="B7" s="36" t="s">
        <v>230</v>
      </c>
      <c r="C7" s="37">
        <v>5</v>
      </c>
      <c r="D7" s="92">
        <f>C7/86</f>
        <v>5.8139534883720929E-2</v>
      </c>
    </row>
    <row r="8" spans="1:4" x14ac:dyDescent="0.2">
      <c r="A8" s="36" t="s">
        <v>19</v>
      </c>
      <c r="B8" s="36" t="s">
        <v>231</v>
      </c>
      <c r="C8" s="37">
        <v>7</v>
      </c>
      <c r="D8" s="92">
        <f>C8/86</f>
        <v>8.1395348837209308E-2</v>
      </c>
    </row>
    <row r="9" spans="1:4" x14ac:dyDescent="0.2">
      <c r="C9" s="90">
        <f>SUM(C6:C8)</f>
        <v>86</v>
      </c>
      <c r="D9" s="92">
        <f>SUM(D6:D8)</f>
        <v>1</v>
      </c>
    </row>
    <row r="11" spans="1:4" x14ac:dyDescent="0.2">
      <c r="A11" s="38" t="s">
        <v>11</v>
      </c>
      <c r="B11" s="38" t="s">
        <v>36</v>
      </c>
      <c r="C11" s="38" t="s">
        <v>250</v>
      </c>
      <c r="D11" s="39" t="s">
        <v>16</v>
      </c>
    </row>
    <row r="12" spans="1:4" x14ac:dyDescent="0.2">
      <c r="A12" s="40" t="s">
        <v>19</v>
      </c>
      <c r="B12" s="40" t="s">
        <v>201</v>
      </c>
      <c r="C12" s="41">
        <v>68</v>
      </c>
      <c r="D12" s="92">
        <f>C12/86</f>
        <v>0.79069767441860461</v>
      </c>
    </row>
    <row r="13" spans="1:4" x14ac:dyDescent="0.2">
      <c r="A13" s="40" t="s">
        <v>19</v>
      </c>
      <c r="B13" s="40" t="s">
        <v>41</v>
      </c>
      <c r="C13" s="41">
        <v>9</v>
      </c>
      <c r="D13" s="92">
        <f>C13/86</f>
        <v>0.10465116279069768</v>
      </c>
    </row>
    <row r="14" spans="1:4" x14ac:dyDescent="0.2">
      <c r="A14" s="40" t="s">
        <v>19</v>
      </c>
      <c r="B14" s="40" t="s">
        <v>40</v>
      </c>
      <c r="C14" s="41">
        <v>1</v>
      </c>
      <c r="D14" s="92">
        <f>C14/86</f>
        <v>1.1627906976744186E-2</v>
      </c>
    </row>
    <row r="15" spans="1:4" x14ac:dyDescent="0.2">
      <c r="A15" s="40" t="s">
        <v>19</v>
      </c>
      <c r="B15" s="40" t="s">
        <v>42</v>
      </c>
      <c r="C15" s="41">
        <v>8</v>
      </c>
      <c r="D15" s="92">
        <f>C15/86</f>
        <v>9.3023255813953487E-2</v>
      </c>
    </row>
    <row r="16" spans="1:4" x14ac:dyDescent="0.2">
      <c r="C16" s="90">
        <f>SUM(C12:C15)</f>
        <v>86</v>
      </c>
    </row>
    <row r="18" spans="1:4" x14ac:dyDescent="0.2">
      <c r="A18" s="93" t="s">
        <v>11</v>
      </c>
      <c r="B18" s="93" t="s">
        <v>44</v>
      </c>
      <c r="C18" s="93" t="s">
        <v>37</v>
      </c>
      <c r="D18" s="94" t="s">
        <v>16</v>
      </c>
    </row>
    <row r="19" spans="1:4" x14ac:dyDescent="0.2">
      <c r="A19" s="43" t="s">
        <v>19</v>
      </c>
      <c r="B19" s="43" t="s">
        <v>45</v>
      </c>
      <c r="C19" s="44">
        <v>2</v>
      </c>
      <c r="D19" s="92">
        <f t="shared" ref="D19:D26" si="0">C19/86</f>
        <v>2.3255813953488372E-2</v>
      </c>
    </row>
    <row r="20" spans="1:4" x14ac:dyDescent="0.2">
      <c r="A20" s="43" t="s">
        <v>19</v>
      </c>
      <c r="B20" s="43" t="s">
        <v>46</v>
      </c>
      <c r="C20" s="44">
        <v>11</v>
      </c>
      <c r="D20" s="92">
        <f t="shared" si="0"/>
        <v>0.12790697674418605</v>
      </c>
    </row>
    <row r="21" spans="1:4" x14ac:dyDescent="0.2">
      <c r="A21" s="43" t="s">
        <v>19</v>
      </c>
      <c r="B21" s="43" t="s">
        <v>47</v>
      </c>
      <c r="C21" s="44">
        <v>40</v>
      </c>
      <c r="D21" s="92">
        <f t="shared" si="0"/>
        <v>0.46511627906976744</v>
      </c>
    </row>
    <row r="22" spans="1:4" x14ac:dyDescent="0.2">
      <c r="A22" s="43" t="s">
        <v>19</v>
      </c>
      <c r="B22" s="43" t="s">
        <v>48</v>
      </c>
      <c r="C22" s="44">
        <v>4</v>
      </c>
      <c r="D22" s="92">
        <f t="shared" si="0"/>
        <v>4.6511627906976744E-2</v>
      </c>
    </row>
    <row r="23" spans="1:4" x14ac:dyDescent="0.2">
      <c r="A23" s="43" t="s">
        <v>19</v>
      </c>
      <c r="B23" s="43" t="s">
        <v>49</v>
      </c>
      <c r="C23" s="44">
        <v>4</v>
      </c>
      <c r="D23" s="92">
        <f t="shared" si="0"/>
        <v>4.6511627906976744E-2</v>
      </c>
    </row>
    <row r="24" spans="1:4" x14ac:dyDescent="0.2">
      <c r="A24" s="43" t="s">
        <v>19</v>
      </c>
      <c r="B24" s="43" t="s">
        <v>50</v>
      </c>
      <c r="C24" s="44">
        <v>1</v>
      </c>
      <c r="D24" s="92">
        <f t="shared" si="0"/>
        <v>1.1627906976744186E-2</v>
      </c>
    </row>
    <row r="25" spans="1:4" x14ac:dyDescent="0.2">
      <c r="A25" s="43" t="s">
        <v>19</v>
      </c>
      <c r="B25" s="43" t="s">
        <v>51</v>
      </c>
      <c r="C25" s="44">
        <v>10</v>
      </c>
      <c r="D25" s="92">
        <f t="shared" si="0"/>
        <v>0.11627906976744186</v>
      </c>
    </row>
    <row r="26" spans="1:4" x14ac:dyDescent="0.2">
      <c r="A26" s="43" t="s">
        <v>19</v>
      </c>
      <c r="B26" s="43" t="s">
        <v>52</v>
      </c>
      <c r="C26" s="44">
        <v>14</v>
      </c>
      <c r="D26" s="92">
        <f t="shared" si="0"/>
        <v>0.16279069767441862</v>
      </c>
    </row>
    <row r="27" spans="1:4" x14ac:dyDescent="0.2">
      <c r="C27" s="90">
        <f>SUM(C19:C26)</f>
        <v>86</v>
      </c>
      <c r="D27" s="92">
        <f>SUM(D19:D26)</f>
        <v>1</v>
      </c>
    </row>
    <row r="29" spans="1:4" x14ac:dyDescent="0.2">
      <c r="A29" s="45" t="s">
        <v>11</v>
      </c>
      <c r="B29" s="45" t="s">
        <v>176</v>
      </c>
      <c r="C29" s="45" t="s">
        <v>37</v>
      </c>
      <c r="D29" s="5" t="s">
        <v>16</v>
      </c>
    </row>
    <row r="30" spans="1:4" x14ac:dyDescent="0.2">
      <c r="A30" s="46" t="s">
        <v>19</v>
      </c>
      <c r="B30" s="46" t="s">
        <v>54</v>
      </c>
      <c r="C30" s="47">
        <v>13</v>
      </c>
      <c r="D30" s="92">
        <f t="shared" ref="D30:D35" si="1">C30/86</f>
        <v>0.15116279069767441</v>
      </c>
    </row>
    <row r="31" spans="1:4" x14ac:dyDescent="0.2">
      <c r="A31" s="46" t="s">
        <v>19</v>
      </c>
      <c r="B31" s="46" t="s">
        <v>55</v>
      </c>
      <c r="C31" s="47">
        <v>4</v>
      </c>
      <c r="D31" s="92">
        <f t="shared" si="1"/>
        <v>4.6511627906976744E-2</v>
      </c>
    </row>
    <row r="32" spans="1:4" x14ac:dyDescent="0.2">
      <c r="A32" s="46" t="s">
        <v>19</v>
      </c>
      <c r="B32" s="46" t="s">
        <v>57</v>
      </c>
      <c r="C32" s="47">
        <v>31</v>
      </c>
      <c r="D32" s="92">
        <f t="shared" si="1"/>
        <v>0.36046511627906974</v>
      </c>
    </row>
    <row r="33" spans="1:4" x14ac:dyDescent="0.2">
      <c r="A33" s="46" t="s">
        <v>19</v>
      </c>
      <c r="B33" s="46" t="s">
        <v>53</v>
      </c>
      <c r="C33" s="47">
        <v>6</v>
      </c>
      <c r="D33" s="92">
        <f t="shared" si="1"/>
        <v>6.9767441860465115E-2</v>
      </c>
    </row>
    <row r="34" spans="1:4" x14ac:dyDescent="0.2">
      <c r="A34" s="46" t="s">
        <v>19</v>
      </c>
      <c r="B34" s="46" t="s">
        <v>56</v>
      </c>
      <c r="C34" s="47">
        <v>31</v>
      </c>
      <c r="D34" s="92">
        <f t="shared" si="1"/>
        <v>0.36046511627906974</v>
      </c>
    </row>
    <row r="35" spans="1:4" x14ac:dyDescent="0.2">
      <c r="A35" s="46" t="s">
        <v>19</v>
      </c>
      <c r="B35" s="46" t="s">
        <v>58</v>
      </c>
      <c r="C35" s="47">
        <v>1</v>
      </c>
      <c r="D35" s="92">
        <f t="shared" si="1"/>
        <v>1.1627906976744186E-2</v>
      </c>
    </row>
    <row r="36" spans="1:4" x14ac:dyDescent="0.2">
      <c r="C36" s="90">
        <f>SUM(C30:C35)</f>
        <v>86</v>
      </c>
      <c r="D36" s="92">
        <f>SUM(D30:D35)</f>
        <v>1</v>
      </c>
    </row>
    <row r="38" spans="1:4" x14ac:dyDescent="0.2">
      <c r="A38" s="48" t="s">
        <v>11</v>
      </c>
      <c r="B38" s="48" t="s">
        <v>177</v>
      </c>
      <c r="C38" s="48" t="s">
        <v>37</v>
      </c>
      <c r="D38" s="5" t="s">
        <v>16</v>
      </c>
    </row>
    <row r="39" spans="1:4" x14ac:dyDescent="0.2">
      <c r="A39" s="49" t="s">
        <v>19</v>
      </c>
      <c r="B39" s="49" t="s">
        <v>178</v>
      </c>
      <c r="C39" s="50">
        <v>5</v>
      </c>
      <c r="D39" s="92">
        <f t="shared" ref="D39:D46" si="2">C39/86</f>
        <v>5.8139534883720929E-2</v>
      </c>
    </row>
    <row r="40" spans="1:4" x14ac:dyDescent="0.2">
      <c r="A40" s="49" t="s">
        <v>19</v>
      </c>
      <c r="B40" s="49" t="s">
        <v>179</v>
      </c>
      <c r="C40" s="50">
        <v>5</v>
      </c>
      <c r="D40" s="92">
        <f t="shared" si="2"/>
        <v>5.8139534883720929E-2</v>
      </c>
    </row>
    <row r="41" spans="1:4" x14ac:dyDescent="0.2">
      <c r="A41" s="49" t="s">
        <v>19</v>
      </c>
      <c r="B41" s="49" t="s">
        <v>180</v>
      </c>
      <c r="C41" s="50">
        <v>2</v>
      </c>
      <c r="D41" s="92">
        <f t="shared" si="2"/>
        <v>2.3255813953488372E-2</v>
      </c>
    </row>
    <row r="42" spans="1:4" x14ac:dyDescent="0.2">
      <c r="A42" s="49" t="s">
        <v>19</v>
      </c>
      <c r="B42" s="49" t="s">
        <v>181</v>
      </c>
      <c r="C42" s="50">
        <v>8</v>
      </c>
      <c r="D42" s="92">
        <f t="shared" si="2"/>
        <v>9.3023255813953487E-2</v>
      </c>
    </row>
    <row r="43" spans="1:4" ht="24" x14ac:dyDescent="0.2">
      <c r="A43" s="49" t="s">
        <v>19</v>
      </c>
      <c r="B43" s="49" t="s">
        <v>214</v>
      </c>
      <c r="C43" s="50">
        <v>11</v>
      </c>
      <c r="D43" s="92">
        <f t="shared" si="2"/>
        <v>0.12790697674418605</v>
      </c>
    </row>
    <row r="44" spans="1:4" x14ac:dyDescent="0.2">
      <c r="A44" s="49" t="s">
        <v>19</v>
      </c>
      <c r="B44" s="49" t="s">
        <v>182</v>
      </c>
      <c r="C44" s="50">
        <v>22</v>
      </c>
      <c r="D44" s="92">
        <f t="shared" si="2"/>
        <v>0.2558139534883721</v>
      </c>
    </row>
    <row r="45" spans="1:4" x14ac:dyDescent="0.2">
      <c r="A45" s="49" t="s">
        <v>19</v>
      </c>
      <c r="B45" s="49" t="s">
        <v>215</v>
      </c>
      <c r="C45" s="50">
        <v>32</v>
      </c>
      <c r="D45" s="92">
        <f t="shared" si="2"/>
        <v>0.37209302325581395</v>
      </c>
    </row>
    <row r="46" spans="1:4" x14ac:dyDescent="0.2">
      <c r="A46" s="49" t="s">
        <v>19</v>
      </c>
      <c r="B46" s="49" t="s">
        <v>33</v>
      </c>
      <c r="C46" s="50">
        <v>1</v>
      </c>
      <c r="D46" s="92">
        <f t="shared" si="2"/>
        <v>1.1627906976744186E-2</v>
      </c>
    </row>
    <row r="47" spans="1:4" x14ac:dyDescent="0.2">
      <c r="C47" s="90">
        <f>SUM(C39:C46)</f>
        <v>86</v>
      </c>
      <c r="D47" s="92">
        <f>SUM(D39:D46)</f>
        <v>1</v>
      </c>
    </row>
    <row r="49" spans="1:4" x14ac:dyDescent="0.2">
      <c r="A49" s="34" t="s">
        <v>11</v>
      </c>
      <c r="B49" s="34" t="s">
        <v>183</v>
      </c>
      <c r="C49" s="34" t="s">
        <v>37</v>
      </c>
      <c r="D49" s="5" t="s">
        <v>16</v>
      </c>
    </row>
    <row r="50" spans="1:4" x14ac:dyDescent="0.2">
      <c r="A50" s="36" t="s">
        <v>19</v>
      </c>
      <c r="B50" s="36" t="s">
        <v>60</v>
      </c>
      <c r="C50" s="37">
        <v>40</v>
      </c>
      <c r="D50" s="92">
        <f t="shared" ref="D50" si="3">C50/86</f>
        <v>0.46511627906976744</v>
      </c>
    </row>
    <row r="53" spans="1:4" x14ac:dyDescent="0.2">
      <c r="A53" s="34" t="s">
        <v>11</v>
      </c>
      <c r="B53" s="34" t="s">
        <v>61</v>
      </c>
      <c r="C53" s="34" t="s">
        <v>37</v>
      </c>
      <c r="D53" s="5" t="s">
        <v>16</v>
      </c>
    </row>
    <row r="54" spans="1:4" x14ac:dyDescent="0.2">
      <c r="A54" s="36" t="s">
        <v>19</v>
      </c>
      <c r="B54" s="112" t="s">
        <v>216</v>
      </c>
      <c r="C54" s="37">
        <v>6</v>
      </c>
      <c r="D54" s="92">
        <f t="shared" ref="D54:D61" si="4">C54/86</f>
        <v>6.9767441860465115E-2</v>
      </c>
    </row>
    <row r="55" spans="1:4" x14ac:dyDescent="0.2">
      <c r="A55" s="36" t="s">
        <v>19</v>
      </c>
      <c r="B55" s="112" t="s">
        <v>184</v>
      </c>
      <c r="C55" s="37">
        <v>12</v>
      </c>
      <c r="D55" s="92">
        <f t="shared" si="4"/>
        <v>0.13953488372093023</v>
      </c>
    </row>
    <row r="56" spans="1:4" x14ac:dyDescent="0.2">
      <c r="A56" s="36" t="s">
        <v>19</v>
      </c>
      <c r="B56" s="112" t="s">
        <v>185</v>
      </c>
      <c r="C56" s="37">
        <v>5</v>
      </c>
      <c r="D56" s="92">
        <f t="shared" si="4"/>
        <v>5.8139534883720929E-2</v>
      </c>
    </row>
    <row r="57" spans="1:4" x14ac:dyDescent="0.2">
      <c r="A57" s="36" t="s">
        <v>19</v>
      </c>
      <c r="B57" s="112" t="s">
        <v>217</v>
      </c>
      <c r="C57" s="37">
        <v>1</v>
      </c>
      <c r="D57" s="92">
        <f t="shared" si="4"/>
        <v>1.1627906976744186E-2</v>
      </c>
    </row>
    <row r="58" spans="1:4" x14ac:dyDescent="0.2">
      <c r="A58" s="36" t="s">
        <v>19</v>
      </c>
      <c r="B58" s="112" t="s">
        <v>218</v>
      </c>
      <c r="C58" s="37">
        <v>1</v>
      </c>
      <c r="D58" s="92">
        <f t="shared" si="4"/>
        <v>1.1627906976744186E-2</v>
      </c>
    </row>
    <row r="59" spans="1:4" x14ac:dyDescent="0.2">
      <c r="A59" s="36" t="s">
        <v>19</v>
      </c>
      <c r="B59" s="112" t="s">
        <v>233</v>
      </c>
      <c r="C59" s="37">
        <v>3</v>
      </c>
      <c r="D59" s="92">
        <f t="shared" si="4"/>
        <v>3.4883720930232558E-2</v>
      </c>
    </row>
    <row r="60" spans="1:4" x14ac:dyDescent="0.2">
      <c r="A60" s="36" t="s">
        <v>19</v>
      </c>
      <c r="B60" s="112" t="s">
        <v>234</v>
      </c>
      <c r="C60" s="37">
        <v>1</v>
      </c>
      <c r="D60" s="92">
        <f t="shared" si="4"/>
        <v>1.1627906976744186E-2</v>
      </c>
    </row>
    <row r="61" spans="1:4" x14ac:dyDescent="0.2">
      <c r="A61" s="36" t="s">
        <v>19</v>
      </c>
      <c r="B61" s="112" t="s">
        <v>219</v>
      </c>
      <c r="C61" s="37">
        <v>17</v>
      </c>
      <c r="D61" s="92">
        <f t="shared" si="4"/>
        <v>0.19767441860465115</v>
      </c>
    </row>
    <row r="62" spans="1:4" x14ac:dyDescent="0.2">
      <c r="C62" s="90">
        <f>SUM(C54:C61)</f>
        <v>46</v>
      </c>
      <c r="D62" s="92"/>
    </row>
    <row r="64" spans="1:4" x14ac:dyDescent="0.2">
      <c r="A64" s="12"/>
      <c r="B64" s="24" t="s">
        <v>63</v>
      </c>
      <c r="C64" s="12"/>
      <c r="D64" s="12"/>
    </row>
    <row r="65" spans="1:4" x14ac:dyDescent="0.2">
      <c r="A65" s="42" t="s">
        <v>11</v>
      </c>
      <c r="B65" s="42" t="s">
        <v>64</v>
      </c>
      <c r="C65" s="42" t="s">
        <v>186</v>
      </c>
      <c r="D65" s="5" t="s">
        <v>16</v>
      </c>
    </row>
    <row r="66" spans="1:4" ht="24" x14ac:dyDescent="0.2">
      <c r="A66" s="43" t="s">
        <v>19</v>
      </c>
      <c r="B66" s="43" t="s">
        <v>65</v>
      </c>
      <c r="C66" s="44">
        <v>13</v>
      </c>
      <c r="D66" s="6">
        <f>C66/91</f>
        <v>0.14285714285714285</v>
      </c>
    </row>
    <row r="67" spans="1:4" x14ac:dyDescent="0.2">
      <c r="A67" s="43" t="s">
        <v>19</v>
      </c>
      <c r="B67" s="43" t="s">
        <v>74</v>
      </c>
      <c r="C67" s="44">
        <v>18</v>
      </c>
      <c r="D67" s="6">
        <f t="shared" ref="D67:D78" si="5">C67/91</f>
        <v>0.19780219780219779</v>
      </c>
    </row>
    <row r="68" spans="1:4" x14ac:dyDescent="0.2">
      <c r="A68" s="43" t="s">
        <v>19</v>
      </c>
      <c r="B68" s="43" t="s">
        <v>75</v>
      </c>
      <c r="C68" s="44">
        <v>1</v>
      </c>
      <c r="D68" s="6">
        <f t="shared" si="5"/>
        <v>1.098901098901099E-2</v>
      </c>
    </row>
    <row r="69" spans="1:4" x14ac:dyDescent="0.2">
      <c r="A69" s="43" t="s">
        <v>19</v>
      </c>
      <c r="B69" s="43" t="s">
        <v>76</v>
      </c>
      <c r="C69" s="44">
        <v>13</v>
      </c>
      <c r="D69" s="6">
        <f t="shared" si="5"/>
        <v>0.14285714285714285</v>
      </c>
    </row>
    <row r="70" spans="1:4" x14ac:dyDescent="0.2">
      <c r="A70" s="43" t="s">
        <v>19</v>
      </c>
      <c r="B70" s="43" t="s">
        <v>77</v>
      </c>
      <c r="C70" s="44">
        <v>1</v>
      </c>
      <c r="D70" s="6">
        <f t="shared" si="5"/>
        <v>1.098901098901099E-2</v>
      </c>
    </row>
    <row r="71" spans="1:4" x14ac:dyDescent="0.2">
      <c r="A71" s="43" t="s">
        <v>19</v>
      </c>
      <c r="B71" s="43" t="s">
        <v>66</v>
      </c>
      <c r="C71" s="44">
        <v>3</v>
      </c>
      <c r="D71" s="6">
        <f t="shared" si="5"/>
        <v>3.2967032967032968E-2</v>
      </c>
    </row>
    <row r="72" spans="1:4" x14ac:dyDescent="0.2">
      <c r="A72" s="43" t="s">
        <v>19</v>
      </c>
      <c r="B72" s="43" t="s">
        <v>67</v>
      </c>
      <c r="C72" s="44">
        <v>1</v>
      </c>
      <c r="D72" s="6">
        <f t="shared" si="5"/>
        <v>1.098901098901099E-2</v>
      </c>
    </row>
    <row r="73" spans="1:4" x14ac:dyDescent="0.2">
      <c r="A73" s="43" t="s">
        <v>19</v>
      </c>
      <c r="B73" s="43" t="s">
        <v>68</v>
      </c>
      <c r="C73" s="44">
        <v>20</v>
      </c>
      <c r="D73" s="6">
        <f t="shared" si="5"/>
        <v>0.21978021978021978</v>
      </c>
    </row>
    <row r="74" spans="1:4" x14ac:dyDescent="0.2">
      <c r="A74" s="43" t="s">
        <v>19</v>
      </c>
      <c r="B74" s="43" t="s">
        <v>69</v>
      </c>
      <c r="C74" s="44">
        <v>1</v>
      </c>
      <c r="D74" s="6">
        <f t="shared" si="5"/>
        <v>1.098901098901099E-2</v>
      </c>
    </row>
    <row r="75" spans="1:4" x14ac:dyDescent="0.2">
      <c r="A75" s="43" t="s">
        <v>19</v>
      </c>
      <c r="B75" s="43" t="s">
        <v>70</v>
      </c>
      <c r="C75" s="44">
        <v>4</v>
      </c>
      <c r="D75" s="6">
        <f t="shared" si="5"/>
        <v>4.3956043956043959E-2</v>
      </c>
    </row>
    <row r="76" spans="1:4" x14ac:dyDescent="0.2">
      <c r="A76" s="43" t="s">
        <v>19</v>
      </c>
      <c r="B76" s="43" t="s">
        <v>71</v>
      </c>
      <c r="C76" s="44">
        <v>11</v>
      </c>
      <c r="D76" s="6">
        <f t="shared" si="5"/>
        <v>0.12087912087912088</v>
      </c>
    </row>
    <row r="77" spans="1:4" x14ac:dyDescent="0.2">
      <c r="A77" s="43" t="s">
        <v>19</v>
      </c>
      <c r="B77" s="43" t="s">
        <v>72</v>
      </c>
      <c r="C77" s="44">
        <v>4</v>
      </c>
      <c r="D77" s="6">
        <f t="shared" si="5"/>
        <v>4.3956043956043959E-2</v>
      </c>
    </row>
    <row r="78" spans="1:4" x14ac:dyDescent="0.2">
      <c r="A78" s="43" t="s">
        <v>19</v>
      </c>
      <c r="B78" s="43" t="s">
        <v>73</v>
      </c>
      <c r="C78" s="44">
        <v>1</v>
      </c>
      <c r="D78" s="6">
        <f t="shared" si="5"/>
        <v>1.098901098901099E-2</v>
      </c>
    </row>
    <row r="79" spans="1:4" x14ac:dyDescent="0.2">
      <c r="C79" s="90">
        <f>SUM(C66:C78)</f>
        <v>91</v>
      </c>
      <c r="D79" s="92">
        <f>SUM(D66:D78)</f>
        <v>0.99999999999999978</v>
      </c>
    </row>
    <row r="81" spans="1:4" x14ac:dyDescent="0.2">
      <c r="B81" s="24" t="s">
        <v>63</v>
      </c>
    </row>
    <row r="82" spans="1:4" x14ac:dyDescent="0.2">
      <c r="A82" s="95" t="s">
        <v>11</v>
      </c>
      <c r="B82" s="95" t="s">
        <v>187</v>
      </c>
      <c r="C82" s="95" t="s">
        <v>37</v>
      </c>
      <c r="D82" s="94" t="s">
        <v>16</v>
      </c>
    </row>
    <row r="83" spans="1:4" x14ac:dyDescent="0.2">
      <c r="A83" s="46" t="s">
        <v>19</v>
      </c>
      <c r="B83" s="46" t="s">
        <v>174</v>
      </c>
      <c r="C83" s="47">
        <v>41</v>
      </c>
      <c r="D83" s="6">
        <f>C83/147</f>
        <v>0.27891156462585032</v>
      </c>
    </row>
    <row r="84" spans="1:4" x14ac:dyDescent="0.2">
      <c r="A84" s="46" t="s">
        <v>19</v>
      </c>
      <c r="B84" s="46" t="s">
        <v>81</v>
      </c>
      <c r="C84" s="47">
        <v>41</v>
      </c>
      <c r="D84" s="6">
        <f>C84/147</f>
        <v>0.27891156462585032</v>
      </c>
    </row>
    <row r="85" spans="1:4" x14ac:dyDescent="0.2">
      <c r="A85" s="46" t="s">
        <v>19</v>
      </c>
      <c r="B85" s="46" t="s">
        <v>82</v>
      </c>
      <c r="C85" s="47">
        <v>27</v>
      </c>
      <c r="D85" s="6">
        <f>C85/147</f>
        <v>0.18367346938775511</v>
      </c>
    </row>
    <row r="86" spans="1:4" x14ac:dyDescent="0.2">
      <c r="A86" s="46" t="s">
        <v>19</v>
      </c>
      <c r="B86" s="46" t="s">
        <v>83</v>
      </c>
      <c r="C86" s="47">
        <v>26</v>
      </c>
      <c r="D86" s="6">
        <f>C86/147</f>
        <v>0.17687074829931973</v>
      </c>
    </row>
    <row r="87" spans="1:4" x14ac:dyDescent="0.2">
      <c r="A87" s="46" t="s">
        <v>19</v>
      </c>
      <c r="B87" s="46" t="s">
        <v>84</v>
      </c>
      <c r="C87" s="47">
        <v>12</v>
      </c>
      <c r="D87" s="6">
        <f>C87/147</f>
        <v>8.1632653061224483E-2</v>
      </c>
    </row>
    <row r="88" spans="1:4" x14ac:dyDescent="0.2">
      <c r="C88" s="90">
        <f>SUM(C83:C87)</f>
        <v>147</v>
      </c>
      <c r="D88" s="92">
        <f>SUM(D83:D87)</f>
        <v>0.99999999999999989</v>
      </c>
    </row>
    <row r="90" spans="1:4" x14ac:dyDescent="0.2">
      <c r="B90" s="24" t="s">
        <v>63</v>
      </c>
    </row>
    <row r="91" spans="1:4" x14ac:dyDescent="0.2">
      <c r="A91" s="96" t="s">
        <v>11</v>
      </c>
      <c r="B91" s="96" t="s">
        <v>87</v>
      </c>
      <c r="C91" s="96" t="s">
        <v>37</v>
      </c>
      <c r="D91" s="94" t="s">
        <v>16</v>
      </c>
    </row>
    <row r="92" spans="1:4" x14ac:dyDescent="0.2">
      <c r="A92" s="49" t="s">
        <v>19</v>
      </c>
      <c r="B92" s="49" t="s">
        <v>88</v>
      </c>
      <c r="C92" s="50">
        <v>17</v>
      </c>
      <c r="D92" s="6">
        <f>C92/105</f>
        <v>0.16190476190476191</v>
      </c>
    </row>
    <row r="93" spans="1:4" x14ac:dyDescent="0.2">
      <c r="A93" s="49" t="s">
        <v>19</v>
      </c>
      <c r="B93" s="49" t="s">
        <v>89</v>
      </c>
      <c r="C93" s="50">
        <v>1</v>
      </c>
      <c r="D93" s="6">
        <f t="shared" ref="D93:D99" si="6">C93/105</f>
        <v>9.5238095238095247E-3</v>
      </c>
    </row>
    <row r="94" spans="1:4" ht="24" x14ac:dyDescent="0.2">
      <c r="A94" s="49" t="s">
        <v>19</v>
      </c>
      <c r="B94" s="49" t="s">
        <v>90</v>
      </c>
      <c r="C94" s="50">
        <v>15</v>
      </c>
      <c r="D94" s="6">
        <f t="shared" si="6"/>
        <v>0.14285714285714285</v>
      </c>
    </row>
    <row r="95" spans="1:4" x14ac:dyDescent="0.2">
      <c r="A95" s="49" t="s">
        <v>19</v>
      </c>
      <c r="B95" s="49" t="s">
        <v>91</v>
      </c>
      <c r="C95" s="50">
        <v>17</v>
      </c>
      <c r="D95" s="6">
        <f t="shared" si="6"/>
        <v>0.16190476190476191</v>
      </c>
    </row>
    <row r="96" spans="1:4" ht="24" x14ac:dyDescent="0.2">
      <c r="A96" s="49" t="s">
        <v>19</v>
      </c>
      <c r="B96" s="49" t="s">
        <v>92</v>
      </c>
      <c r="C96" s="50">
        <v>10</v>
      </c>
      <c r="D96" s="6">
        <f t="shared" si="6"/>
        <v>9.5238095238095233E-2</v>
      </c>
    </row>
    <row r="97" spans="1:4" x14ac:dyDescent="0.2">
      <c r="A97" s="49" t="s">
        <v>19</v>
      </c>
      <c r="B97" s="49" t="s">
        <v>93</v>
      </c>
      <c r="C97" s="50">
        <v>5</v>
      </c>
      <c r="D97" s="6">
        <f t="shared" si="6"/>
        <v>4.7619047619047616E-2</v>
      </c>
    </row>
    <row r="98" spans="1:4" x14ac:dyDescent="0.2">
      <c r="A98" s="49" t="s">
        <v>19</v>
      </c>
      <c r="B98" s="49" t="s">
        <v>96</v>
      </c>
      <c r="C98" s="50">
        <v>35</v>
      </c>
      <c r="D98" s="6">
        <f t="shared" si="6"/>
        <v>0.33333333333333331</v>
      </c>
    </row>
    <row r="99" spans="1:4" x14ac:dyDescent="0.2">
      <c r="A99" s="49" t="s">
        <v>19</v>
      </c>
      <c r="B99" s="49" t="s">
        <v>95</v>
      </c>
      <c r="C99" s="50">
        <v>5</v>
      </c>
      <c r="D99" s="6">
        <f t="shared" si="6"/>
        <v>4.7619047619047616E-2</v>
      </c>
    </row>
    <row r="100" spans="1:4" x14ac:dyDescent="0.2">
      <c r="C100" s="90">
        <f>SUM(C92:C99)</f>
        <v>105</v>
      </c>
      <c r="D100" s="92">
        <f>SUM(D92:D99)</f>
        <v>1</v>
      </c>
    </row>
    <row r="102" spans="1:4" x14ac:dyDescent="0.2">
      <c r="B102" s="24" t="s">
        <v>63</v>
      </c>
    </row>
    <row r="103" spans="1:4" x14ac:dyDescent="0.2">
      <c r="A103" s="97" t="s">
        <v>11</v>
      </c>
      <c r="B103" s="97" t="s">
        <v>188</v>
      </c>
      <c r="C103" s="97" t="s">
        <v>37</v>
      </c>
      <c r="D103" s="94" t="s">
        <v>16</v>
      </c>
    </row>
    <row r="104" spans="1:4" ht="24" x14ac:dyDescent="0.2">
      <c r="A104" s="52" t="s">
        <v>19</v>
      </c>
      <c r="B104" s="52" t="s">
        <v>98</v>
      </c>
      <c r="C104" s="53">
        <v>41</v>
      </c>
      <c r="D104" s="6">
        <f>C104/134</f>
        <v>0.30597014925373134</v>
      </c>
    </row>
    <row r="105" spans="1:4" x14ac:dyDescent="0.2">
      <c r="A105" s="52" t="s">
        <v>19</v>
      </c>
      <c r="B105" s="52" t="s">
        <v>99</v>
      </c>
      <c r="C105" s="53">
        <v>20</v>
      </c>
      <c r="D105" s="6">
        <f t="shared" ref="D105:D111" si="7">C105/134</f>
        <v>0.14925373134328357</v>
      </c>
    </row>
    <row r="106" spans="1:4" x14ac:dyDescent="0.2">
      <c r="A106" s="52" t="s">
        <v>19</v>
      </c>
      <c r="B106" s="52" t="s">
        <v>100</v>
      </c>
      <c r="C106" s="53">
        <v>5</v>
      </c>
      <c r="D106" s="6">
        <f t="shared" si="7"/>
        <v>3.7313432835820892E-2</v>
      </c>
    </row>
    <row r="107" spans="1:4" x14ac:dyDescent="0.2">
      <c r="A107" s="52" t="s">
        <v>19</v>
      </c>
      <c r="B107" s="52" t="s">
        <v>101</v>
      </c>
      <c r="C107" s="53">
        <v>8</v>
      </c>
      <c r="D107" s="6">
        <f t="shared" si="7"/>
        <v>5.9701492537313432E-2</v>
      </c>
    </row>
    <row r="108" spans="1:4" x14ac:dyDescent="0.2">
      <c r="A108" s="52" t="s">
        <v>19</v>
      </c>
      <c r="B108" s="52" t="s">
        <v>102</v>
      </c>
      <c r="C108" s="53">
        <v>26</v>
      </c>
      <c r="D108" s="6">
        <f t="shared" si="7"/>
        <v>0.19402985074626866</v>
      </c>
    </row>
    <row r="109" spans="1:4" x14ac:dyDescent="0.2">
      <c r="A109" s="52" t="s">
        <v>19</v>
      </c>
      <c r="B109" s="52" t="s">
        <v>103</v>
      </c>
      <c r="C109" s="53">
        <v>16</v>
      </c>
      <c r="D109" s="6">
        <f t="shared" si="7"/>
        <v>0.11940298507462686</v>
      </c>
    </row>
    <row r="110" spans="1:4" x14ac:dyDescent="0.2">
      <c r="A110" s="52" t="s">
        <v>19</v>
      </c>
      <c r="B110" s="52" t="s">
        <v>104</v>
      </c>
      <c r="C110" s="53">
        <v>17</v>
      </c>
      <c r="D110" s="6">
        <f t="shared" si="7"/>
        <v>0.12686567164179105</v>
      </c>
    </row>
    <row r="111" spans="1:4" x14ac:dyDescent="0.2">
      <c r="A111" s="52" t="s">
        <v>19</v>
      </c>
      <c r="B111" s="52" t="s">
        <v>105</v>
      </c>
      <c r="C111" s="53">
        <v>1</v>
      </c>
      <c r="D111" s="6">
        <f t="shared" si="7"/>
        <v>7.462686567164179E-3</v>
      </c>
    </row>
    <row r="112" spans="1:4" x14ac:dyDescent="0.2">
      <c r="C112" s="90">
        <f>SUM(C104:C111)</f>
        <v>134</v>
      </c>
      <c r="D112" s="92">
        <f>SUM(D104:D111)</f>
        <v>1</v>
      </c>
    </row>
    <row r="114" spans="1:5" ht="24" x14ac:dyDescent="0.2">
      <c r="A114" s="54" t="s">
        <v>11</v>
      </c>
      <c r="B114" s="54" t="s">
        <v>202</v>
      </c>
      <c r="C114" s="5" t="s">
        <v>203</v>
      </c>
      <c r="D114" s="94" t="s">
        <v>3</v>
      </c>
      <c r="E114" s="5" t="s">
        <v>10</v>
      </c>
    </row>
    <row r="115" spans="1:5" x14ac:dyDescent="0.2">
      <c r="A115" s="46" t="s">
        <v>19</v>
      </c>
      <c r="B115" s="47">
        <v>45</v>
      </c>
      <c r="C115" s="90">
        <v>9</v>
      </c>
      <c r="D115" s="90">
        <f>C115+B115</f>
        <v>54</v>
      </c>
      <c r="E115" s="90">
        <v>8</v>
      </c>
    </row>
    <row r="118" spans="1:5" x14ac:dyDescent="0.2">
      <c r="A118" s="55" t="s">
        <v>11</v>
      </c>
      <c r="B118" s="55" t="s">
        <v>189</v>
      </c>
      <c r="C118" s="56" t="s">
        <v>37</v>
      </c>
      <c r="D118" s="5" t="s">
        <v>16</v>
      </c>
    </row>
    <row r="119" spans="1:5" x14ac:dyDescent="0.2">
      <c r="A119" s="57" t="s">
        <v>19</v>
      </c>
      <c r="B119" s="57" t="s">
        <v>60</v>
      </c>
      <c r="C119" s="58">
        <v>46</v>
      </c>
      <c r="D119" s="92">
        <f t="shared" ref="D119" si="8">C119/86</f>
        <v>0.53488372093023251</v>
      </c>
    </row>
    <row r="122" spans="1:5" ht="36" x14ac:dyDescent="0.2">
      <c r="A122" s="59" t="s">
        <v>11</v>
      </c>
      <c r="B122" s="59" t="s">
        <v>190</v>
      </c>
      <c r="C122" s="59" t="s">
        <v>37</v>
      </c>
      <c r="D122" s="5" t="s">
        <v>221</v>
      </c>
      <c r="E122" s="5"/>
    </row>
    <row r="123" spans="1:5" x14ac:dyDescent="0.2">
      <c r="A123" s="60" t="s">
        <v>19</v>
      </c>
      <c r="B123" s="60" t="s">
        <v>60</v>
      </c>
      <c r="C123" s="61">
        <v>19</v>
      </c>
      <c r="D123" s="90">
        <v>1</v>
      </c>
      <c r="E123" s="90">
        <f>SUM(C123:D123)</f>
        <v>20</v>
      </c>
    </row>
    <row r="126" spans="1:5" x14ac:dyDescent="0.2">
      <c r="A126" s="62" t="s">
        <v>11</v>
      </c>
      <c r="B126" s="62" t="s">
        <v>191</v>
      </c>
      <c r="C126" s="62" t="s">
        <v>37</v>
      </c>
      <c r="D126" s="5" t="s">
        <v>16</v>
      </c>
    </row>
    <row r="127" spans="1:5" x14ac:dyDescent="0.2">
      <c r="A127" s="63" t="s">
        <v>19</v>
      </c>
      <c r="B127" s="63" t="s">
        <v>60</v>
      </c>
      <c r="C127" s="64">
        <v>34</v>
      </c>
      <c r="D127" s="92">
        <f t="shared" ref="D127" si="9">C127/86</f>
        <v>0.39534883720930231</v>
      </c>
    </row>
    <row r="130" spans="1:4" ht="24" x14ac:dyDescent="0.2">
      <c r="A130" s="98" t="s">
        <v>11</v>
      </c>
      <c r="B130" s="98" t="s">
        <v>222</v>
      </c>
      <c r="C130" s="98" t="s">
        <v>37</v>
      </c>
      <c r="D130" s="5" t="s">
        <v>223</v>
      </c>
    </row>
    <row r="131" spans="1:4" x14ac:dyDescent="0.2">
      <c r="A131" s="99" t="s">
        <v>19</v>
      </c>
      <c r="B131" s="99" t="s">
        <v>60</v>
      </c>
      <c r="C131" s="100">
        <v>20</v>
      </c>
      <c r="D131" s="6">
        <f>C131/34</f>
        <v>0.58823529411764708</v>
      </c>
    </row>
    <row r="133" spans="1:4" x14ac:dyDescent="0.2">
      <c r="A133" s="65" t="s">
        <v>11</v>
      </c>
      <c r="B133" s="65" t="s">
        <v>192</v>
      </c>
      <c r="C133" s="65" t="s">
        <v>37</v>
      </c>
      <c r="D133" s="5" t="s">
        <v>16</v>
      </c>
    </row>
    <row r="134" spans="1:4" x14ac:dyDescent="0.2">
      <c r="A134" s="66" t="s">
        <v>19</v>
      </c>
      <c r="B134" s="66" t="s">
        <v>60</v>
      </c>
      <c r="C134" s="67">
        <v>19</v>
      </c>
      <c r="D134" s="92">
        <f t="shared" ref="D134" si="10">C134/86</f>
        <v>0.22093023255813954</v>
      </c>
    </row>
    <row r="137" spans="1:4" s="1" customFormat="1" ht="24" x14ac:dyDescent="0.2">
      <c r="A137" s="65" t="s">
        <v>11</v>
      </c>
      <c r="B137" s="65" t="s">
        <v>224</v>
      </c>
      <c r="C137" s="65" t="s">
        <v>37</v>
      </c>
      <c r="D137" s="5" t="s">
        <v>225</v>
      </c>
    </row>
    <row r="138" spans="1:4" s="1" customFormat="1" x14ac:dyDescent="0.2">
      <c r="A138" s="66" t="s">
        <v>19</v>
      </c>
      <c r="B138" s="66" t="s">
        <v>114</v>
      </c>
      <c r="C138" s="67">
        <v>9</v>
      </c>
      <c r="D138" s="6">
        <f>C138/19</f>
        <v>0.47368421052631576</v>
      </c>
    </row>
    <row r="139" spans="1:4" s="1" customFormat="1" x14ac:dyDescent="0.2">
      <c r="A139" s="66" t="s">
        <v>19</v>
      </c>
      <c r="B139" s="66" t="s">
        <v>115</v>
      </c>
      <c r="C139" s="67">
        <v>9</v>
      </c>
      <c r="D139" s="6">
        <f>C139/19</f>
        <v>0.47368421052631576</v>
      </c>
    </row>
    <row r="140" spans="1:4" x14ac:dyDescent="0.2">
      <c r="A140" s="90" t="s">
        <v>19</v>
      </c>
      <c r="B140" s="90" t="s">
        <v>33</v>
      </c>
      <c r="C140" s="90">
        <v>1</v>
      </c>
      <c r="D140" s="6">
        <f>C140/19</f>
        <v>5.2631578947368418E-2</v>
      </c>
    </row>
    <row r="142" spans="1:4" ht="24" x14ac:dyDescent="0.2">
      <c r="A142" s="101" t="s">
        <v>11</v>
      </c>
      <c r="B142" s="101" t="s">
        <v>251</v>
      </c>
      <c r="C142" s="5" t="s">
        <v>16</v>
      </c>
    </row>
    <row r="143" spans="1:4" x14ac:dyDescent="0.2">
      <c r="A143" s="102" t="s">
        <v>19</v>
      </c>
      <c r="B143" s="103">
        <v>45</v>
      </c>
      <c r="C143" s="92">
        <f t="shared" ref="C143" si="11">B143/86</f>
        <v>0.52325581395348841</v>
      </c>
    </row>
    <row r="145" spans="1:6" x14ac:dyDescent="0.2">
      <c r="B145" s="104" t="s">
        <v>63</v>
      </c>
    </row>
    <row r="146" spans="1:6" x14ac:dyDescent="0.2">
      <c r="A146" s="68" t="s">
        <v>11</v>
      </c>
      <c r="B146" s="68" t="s">
        <v>193</v>
      </c>
      <c r="C146" s="68" t="s">
        <v>37</v>
      </c>
      <c r="D146" s="5" t="s">
        <v>16</v>
      </c>
    </row>
    <row r="147" spans="1:6" x14ac:dyDescent="0.2">
      <c r="A147" s="69" t="s">
        <v>19</v>
      </c>
      <c r="B147" s="69" t="s">
        <v>117</v>
      </c>
      <c r="C147" s="70">
        <v>19</v>
      </c>
      <c r="D147" s="92">
        <f t="shared" ref="D147:D152" si="12">C147/45</f>
        <v>0.42222222222222222</v>
      </c>
    </row>
    <row r="148" spans="1:6" x14ac:dyDescent="0.2">
      <c r="A148" s="69" t="s">
        <v>19</v>
      </c>
      <c r="B148" s="69" t="s">
        <v>118</v>
      </c>
      <c r="C148" s="70">
        <v>8</v>
      </c>
      <c r="D148" s="92">
        <f t="shared" si="12"/>
        <v>0.17777777777777778</v>
      </c>
    </row>
    <row r="149" spans="1:6" x14ac:dyDescent="0.2">
      <c r="A149" s="69" t="s">
        <v>19</v>
      </c>
      <c r="B149" s="69" t="s">
        <v>119</v>
      </c>
      <c r="C149" s="70">
        <v>8</v>
      </c>
      <c r="D149" s="92">
        <f t="shared" si="12"/>
        <v>0.17777777777777778</v>
      </c>
    </row>
    <row r="150" spans="1:6" x14ac:dyDescent="0.2">
      <c r="A150" s="69" t="s">
        <v>19</v>
      </c>
      <c r="B150" s="69" t="s">
        <v>120</v>
      </c>
      <c r="C150" s="70">
        <v>7</v>
      </c>
      <c r="D150" s="92">
        <f t="shared" si="12"/>
        <v>0.15555555555555556</v>
      </c>
    </row>
    <row r="151" spans="1:6" x14ac:dyDescent="0.2">
      <c r="A151" s="69" t="s">
        <v>19</v>
      </c>
      <c r="B151" s="69" t="s">
        <v>122</v>
      </c>
      <c r="C151" s="70">
        <v>1</v>
      </c>
      <c r="D151" s="92">
        <f t="shared" si="12"/>
        <v>2.2222222222222223E-2</v>
      </c>
    </row>
    <row r="152" spans="1:6" x14ac:dyDescent="0.2">
      <c r="A152" s="69" t="s">
        <v>19</v>
      </c>
      <c r="B152" s="69" t="s">
        <v>123</v>
      </c>
      <c r="C152" s="70">
        <v>2</v>
      </c>
      <c r="D152" s="92">
        <f t="shared" si="12"/>
        <v>4.4444444444444446E-2</v>
      </c>
    </row>
    <row r="153" spans="1:6" x14ac:dyDescent="0.2">
      <c r="C153" s="90">
        <f>SUM(C147:C152)</f>
        <v>45</v>
      </c>
      <c r="D153" s="92">
        <f>SUM(D147:D152)</f>
        <v>1</v>
      </c>
    </row>
    <row r="156" spans="1:6" ht="24" x14ac:dyDescent="0.2">
      <c r="A156" s="71" t="s">
        <v>11</v>
      </c>
      <c r="B156" s="71" t="s">
        <v>124</v>
      </c>
      <c r="C156" s="71" t="s">
        <v>175</v>
      </c>
      <c r="D156" s="71" t="s">
        <v>194</v>
      </c>
      <c r="E156" s="71" t="s">
        <v>3</v>
      </c>
      <c r="F156" s="71" t="s">
        <v>16</v>
      </c>
    </row>
    <row r="157" spans="1:6" s="115" customFormat="1" x14ac:dyDescent="0.2">
      <c r="A157" s="72" t="s">
        <v>19</v>
      </c>
      <c r="B157" s="72" t="s">
        <v>195</v>
      </c>
      <c r="C157" s="113">
        <v>0</v>
      </c>
      <c r="D157" s="73">
        <v>16</v>
      </c>
      <c r="E157" s="74">
        <f t="shared" ref="E157:E163" si="13">SUM(C157:D157)</f>
        <v>16</v>
      </c>
      <c r="F157" s="114">
        <f>E157/118</f>
        <v>0.13559322033898305</v>
      </c>
    </row>
    <row r="158" spans="1:6" x14ac:dyDescent="0.2">
      <c r="A158" s="76" t="s">
        <v>19</v>
      </c>
      <c r="B158" s="76" t="s">
        <v>128</v>
      </c>
      <c r="C158" s="77">
        <v>3</v>
      </c>
      <c r="D158" s="90">
        <v>4</v>
      </c>
      <c r="E158" s="74">
        <f t="shared" si="13"/>
        <v>7</v>
      </c>
      <c r="F158" s="114">
        <f t="shared" ref="F158:F163" si="14">E158/118</f>
        <v>5.9322033898305086E-2</v>
      </c>
    </row>
    <row r="159" spans="1:6" x14ac:dyDescent="0.2">
      <c r="A159" s="76" t="s">
        <v>19</v>
      </c>
      <c r="B159" s="76" t="s">
        <v>129</v>
      </c>
      <c r="C159" s="77">
        <v>9</v>
      </c>
      <c r="D159" s="90">
        <v>2</v>
      </c>
      <c r="E159" s="74">
        <f t="shared" si="13"/>
        <v>11</v>
      </c>
      <c r="F159" s="114">
        <f t="shared" si="14"/>
        <v>9.3220338983050849E-2</v>
      </c>
    </row>
    <row r="160" spans="1:6" x14ac:dyDescent="0.2">
      <c r="A160" s="76" t="s">
        <v>19</v>
      </c>
      <c r="B160" s="76" t="s">
        <v>130</v>
      </c>
      <c r="C160" s="77">
        <v>27</v>
      </c>
      <c r="D160" s="90">
        <v>4</v>
      </c>
      <c r="E160" s="74">
        <f t="shared" si="13"/>
        <v>31</v>
      </c>
      <c r="F160" s="114">
        <f t="shared" si="14"/>
        <v>0.26271186440677968</v>
      </c>
    </row>
    <row r="161" spans="1:6" x14ac:dyDescent="0.2">
      <c r="A161" s="76" t="s">
        <v>19</v>
      </c>
      <c r="B161" s="76" t="s">
        <v>131</v>
      </c>
      <c r="C161" s="77">
        <v>33</v>
      </c>
      <c r="D161" s="90">
        <v>3</v>
      </c>
      <c r="E161" s="74">
        <f t="shared" si="13"/>
        <v>36</v>
      </c>
      <c r="F161" s="114">
        <f t="shared" si="14"/>
        <v>0.30508474576271188</v>
      </c>
    </row>
    <row r="162" spans="1:6" x14ac:dyDescent="0.2">
      <c r="A162" s="76" t="s">
        <v>19</v>
      </c>
      <c r="B162" s="76" t="s">
        <v>132</v>
      </c>
      <c r="C162" s="77">
        <v>11</v>
      </c>
      <c r="D162" s="90">
        <v>1</v>
      </c>
      <c r="E162" s="74">
        <f t="shared" si="13"/>
        <v>12</v>
      </c>
      <c r="F162" s="114">
        <f t="shared" si="14"/>
        <v>0.10169491525423729</v>
      </c>
    </row>
    <row r="163" spans="1:6" x14ac:dyDescent="0.2">
      <c r="A163" s="76" t="s">
        <v>19</v>
      </c>
      <c r="B163" s="76" t="s">
        <v>133</v>
      </c>
      <c r="C163" s="77">
        <v>3</v>
      </c>
      <c r="D163" s="90">
        <v>2</v>
      </c>
      <c r="E163" s="74">
        <f t="shared" si="13"/>
        <v>5</v>
      </c>
      <c r="F163" s="114">
        <f t="shared" si="14"/>
        <v>4.2372881355932202E-2</v>
      </c>
    </row>
    <row r="164" spans="1:6" x14ac:dyDescent="0.2">
      <c r="C164" s="90">
        <f>SUM(C157:C163)</f>
        <v>86</v>
      </c>
      <c r="D164" s="90">
        <f>SUM(D157:D163)</f>
        <v>32</v>
      </c>
      <c r="E164" s="90">
        <f>SUM(E157:E163)</f>
        <v>118</v>
      </c>
      <c r="F164" s="92">
        <f>SUM(F157:F163)</f>
        <v>1</v>
      </c>
    </row>
    <row r="167" spans="1:6" ht="24" x14ac:dyDescent="0.2">
      <c r="A167" s="78" t="s">
        <v>11</v>
      </c>
      <c r="B167" s="78" t="s">
        <v>135</v>
      </c>
      <c r="C167" s="78" t="s">
        <v>196</v>
      </c>
      <c r="D167" s="78" t="s">
        <v>197</v>
      </c>
      <c r="E167" s="78" t="s">
        <v>3</v>
      </c>
      <c r="F167" s="78" t="s">
        <v>16</v>
      </c>
    </row>
    <row r="168" spans="1:6" x14ac:dyDescent="0.2">
      <c r="A168" s="79" t="s">
        <v>19</v>
      </c>
      <c r="B168" s="79" t="s">
        <v>137</v>
      </c>
      <c r="C168" s="80">
        <v>37</v>
      </c>
      <c r="D168" s="90">
        <v>19</v>
      </c>
      <c r="E168" s="90">
        <f>SUM(C168:D168)</f>
        <v>56</v>
      </c>
      <c r="F168" s="114">
        <f t="shared" ref="F168:F171" si="15">E168/118</f>
        <v>0.47457627118644069</v>
      </c>
    </row>
    <row r="169" spans="1:6" x14ac:dyDescent="0.2">
      <c r="A169" s="79" t="s">
        <v>19</v>
      </c>
      <c r="B169" s="79" t="s">
        <v>138</v>
      </c>
      <c r="C169" s="80">
        <v>2</v>
      </c>
      <c r="D169" s="90">
        <v>0</v>
      </c>
      <c r="E169" s="90">
        <f>SUM(C169:D169)</f>
        <v>2</v>
      </c>
      <c r="F169" s="114">
        <f t="shared" si="15"/>
        <v>1.6949152542372881E-2</v>
      </c>
    </row>
    <row r="170" spans="1:6" x14ac:dyDescent="0.2">
      <c r="A170" s="79" t="s">
        <v>19</v>
      </c>
      <c r="B170" s="79" t="s">
        <v>140</v>
      </c>
      <c r="C170" s="80">
        <v>42</v>
      </c>
      <c r="D170" s="90">
        <v>10</v>
      </c>
      <c r="E170" s="90">
        <f>SUM(C170:D170)</f>
        <v>52</v>
      </c>
      <c r="F170" s="114">
        <f t="shared" si="15"/>
        <v>0.44067796610169491</v>
      </c>
    </row>
    <row r="171" spans="1:6" x14ac:dyDescent="0.2">
      <c r="A171" s="79" t="s">
        <v>19</v>
      </c>
      <c r="B171" s="79" t="s">
        <v>142</v>
      </c>
      <c r="C171" s="80">
        <v>5</v>
      </c>
      <c r="D171" s="90">
        <v>3</v>
      </c>
      <c r="E171" s="90">
        <f>SUM(C171:D171)</f>
        <v>8</v>
      </c>
      <c r="F171" s="114">
        <f t="shared" si="15"/>
        <v>6.7796610169491525E-2</v>
      </c>
    </row>
    <row r="172" spans="1:6" x14ac:dyDescent="0.2">
      <c r="C172" s="90">
        <f>SUM(C168:C171)</f>
        <v>86</v>
      </c>
      <c r="D172" s="90">
        <f>SUM(D168:D171)</f>
        <v>32</v>
      </c>
      <c r="E172" s="90">
        <f>SUM(E168:E171)</f>
        <v>118</v>
      </c>
      <c r="F172" s="92">
        <f>SUM(F168:F171)</f>
        <v>1</v>
      </c>
    </row>
    <row r="174" spans="1:6" ht="24" x14ac:dyDescent="0.2">
      <c r="A174" s="82" t="s">
        <v>11</v>
      </c>
      <c r="B174" s="82" t="s">
        <v>199</v>
      </c>
      <c r="C174" s="82" t="s">
        <v>212</v>
      </c>
      <c r="D174" s="5" t="s">
        <v>125</v>
      </c>
      <c r="E174" s="82" t="s">
        <v>3</v>
      </c>
      <c r="F174" s="82" t="s">
        <v>16</v>
      </c>
    </row>
    <row r="175" spans="1:6" x14ac:dyDescent="0.2">
      <c r="A175" s="83" t="s">
        <v>19</v>
      </c>
      <c r="B175" s="83" t="s">
        <v>145</v>
      </c>
      <c r="C175" s="84">
        <v>62</v>
      </c>
      <c r="D175" s="84">
        <v>20</v>
      </c>
      <c r="E175" s="84">
        <f>SUM(C175:D175)</f>
        <v>82</v>
      </c>
      <c r="F175" s="114">
        <f t="shared" ref="F175:F177" si="16">E175/118</f>
        <v>0.69491525423728817</v>
      </c>
    </row>
    <row r="176" spans="1:6" x14ac:dyDescent="0.2">
      <c r="A176" s="83" t="s">
        <v>19</v>
      </c>
      <c r="B176" s="83" t="s">
        <v>146</v>
      </c>
      <c r="C176" s="84">
        <v>23</v>
      </c>
      <c r="D176" s="84">
        <v>12</v>
      </c>
      <c r="E176" s="84">
        <f>SUM(C176:D176)</f>
        <v>35</v>
      </c>
      <c r="F176" s="114">
        <f t="shared" si="16"/>
        <v>0.29661016949152541</v>
      </c>
    </row>
    <row r="177" spans="1:6" x14ac:dyDescent="0.2">
      <c r="A177" s="83" t="s">
        <v>19</v>
      </c>
      <c r="B177" s="83" t="s">
        <v>148</v>
      </c>
      <c r="C177" s="84">
        <v>1</v>
      </c>
      <c r="D177" s="84">
        <v>0</v>
      </c>
      <c r="E177" s="84">
        <f>SUM(C177:D177)</f>
        <v>1</v>
      </c>
      <c r="F177" s="114">
        <f t="shared" si="16"/>
        <v>8.4745762711864406E-3</v>
      </c>
    </row>
    <row r="178" spans="1:6" x14ac:dyDescent="0.2">
      <c r="A178" s="83"/>
      <c r="B178" s="83"/>
      <c r="C178" s="84">
        <f>SUM(C175:C177)</f>
        <v>86</v>
      </c>
      <c r="D178" s="84">
        <f>SUM(D175:D177)</f>
        <v>32</v>
      </c>
      <c r="E178" s="84">
        <f>SUM(E175:E177)</f>
        <v>118</v>
      </c>
      <c r="F178" s="92">
        <f>SUM(F175:F177)</f>
        <v>1</v>
      </c>
    </row>
    <row r="180" spans="1:6" ht="48" x14ac:dyDescent="0.2">
      <c r="C180" s="3" t="s">
        <v>204</v>
      </c>
    </row>
    <row r="181" spans="1:6" ht="24" x14ac:dyDescent="0.2">
      <c r="A181" s="85" t="s">
        <v>11</v>
      </c>
      <c r="B181" s="85" t="s">
        <v>205</v>
      </c>
      <c r="C181" s="85" t="s">
        <v>206</v>
      </c>
      <c r="D181" s="85" t="s">
        <v>207</v>
      </c>
      <c r="E181" s="5" t="s">
        <v>16</v>
      </c>
      <c r="F181" s="85" t="s">
        <v>208</v>
      </c>
    </row>
    <row r="182" spans="1:6" x14ac:dyDescent="0.2">
      <c r="A182" s="86" t="s">
        <v>19</v>
      </c>
      <c r="B182" s="86" t="s">
        <v>226</v>
      </c>
      <c r="C182" s="87">
        <v>8</v>
      </c>
      <c r="D182" s="87">
        <v>226</v>
      </c>
      <c r="E182" s="92">
        <f>D182/579</f>
        <v>0.39032815198618309</v>
      </c>
      <c r="F182" s="87">
        <v>238</v>
      </c>
    </row>
    <row r="183" spans="1:6" x14ac:dyDescent="0.2">
      <c r="A183" s="86" t="s">
        <v>19</v>
      </c>
      <c r="B183" s="86" t="s">
        <v>209</v>
      </c>
      <c r="C183" s="87">
        <v>7</v>
      </c>
      <c r="D183" s="87">
        <v>187</v>
      </c>
      <c r="E183" s="92">
        <f>D183/579</f>
        <v>0.3229706390328152</v>
      </c>
      <c r="F183" s="87">
        <v>207</v>
      </c>
    </row>
    <row r="184" spans="1:6" x14ac:dyDescent="0.2">
      <c r="A184" s="86" t="s">
        <v>19</v>
      </c>
      <c r="B184" s="86" t="s">
        <v>210</v>
      </c>
      <c r="C184" s="87">
        <v>6</v>
      </c>
      <c r="D184" s="87">
        <v>95</v>
      </c>
      <c r="E184" s="92">
        <f>D184/579</f>
        <v>0.16407599309153714</v>
      </c>
      <c r="F184" s="87">
        <v>95</v>
      </c>
    </row>
    <row r="185" spans="1:6" x14ac:dyDescent="0.2">
      <c r="A185" s="86" t="s">
        <v>19</v>
      </c>
      <c r="B185" s="86" t="s">
        <v>211</v>
      </c>
      <c r="C185" s="87">
        <v>2</v>
      </c>
      <c r="D185" s="87">
        <v>71</v>
      </c>
      <c r="E185" s="92">
        <f>D185/579</f>
        <v>0.12262521588946459</v>
      </c>
      <c r="F185" s="87">
        <v>112</v>
      </c>
    </row>
    <row r="186" spans="1:6" x14ac:dyDescent="0.2">
      <c r="D186" s="90">
        <f>SUM(D182:D185)</f>
        <v>579</v>
      </c>
      <c r="E186" s="92">
        <f>SUM(E182:E185)</f>
        <v>1</v>
      </c>
      <c r="F186" s="90">
        <f>SUM(F182:F185)</f>
        <v>652</v>
      </c>
    </row>
    <row r="187" spans="1:6" x14ac:dyDescent="0.2">
      <c r="F187" s="92">
        <f>D186/F186</f>
        <v>0.8880368098159509</v>
      </c>
    </row>
  </sheetData>
  <printOptions horizontalCentered="1"/>
  <pageMargins left="0.7" right="0.7" top="0.75" bottom="0.75" header="0.3" footer="0.3"/>
  <pageSetup orientation="portrait" horizontalDpi="4294967293" verticalDpi="4294967293" r:id="rId1"/>
  <headerFooter>
    <oddHeader>&amp;L&amp;"-,Bold"&amp;8Coconino County&amp;C&amp;"-,Bold"&amp;8AZ Balance of State
Continuum of Care
2018 Point In Time Data Report &amp;R&amp;"-,Bold"&amp;8&amp;P of &amp;N
&amp;D</oddHeader>
  </headerFooter>
  <rowBreaks count="3" manualBreakCount="3">
    <brk id="89" max="5" man="1"/>
    <brk id="129" max="5" man="1"/>
    <brk id="17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zoomScale="130" zoomScaleNormal="130" workbookViewId="0">
      <selection activeCell="G13" sqref="G13"/>
    </sheetView>
  </sheetViews>
  <sheetFormatPr defaultColWidth="8.85546875" defaultRowHeight="12" x14ac:dyDescent="0.2"/>
  <cols>
    <col min="1" max="1" width="8.85546875" style="118"/>
    <col min="2" max="2" width="21.140625" style="118" customWidth="1"/>
    <col min="3" max="3" width="14.140625" style="118" customWidth="1"/>
    <col min="4" max="4" width="12" style="118" customWidth="1"/>
    <col min="5" max="16384" width="8.85546875" style="118"/>
  </cols>
  <sheetData>
    <row r="1" spans="1:4" x14ac:dyDescent="0.2">
      <c r="A1" s="34" t="s">
        <v>11</v>
      </c>
      <c r="B1" s="34" t="s">
        <v>175</v>
      </c>
      <c r="C1" s="116" t="s">
        <v>228</v>
      </c>
      <c r="D1" s="117" t="s">
        <v>3</v>
      </c>
    </row>
    <row r="2" spans="1:4" x14ac:dyDescent="0.2">
      <c r="A2" s="36" t="s">
        <v>20</v>
      </c>
      <c r="B2" s="37">
        <v>30</v>
      </c>
      <c r="C2" s="118">
        <v>17</v>
      </c>
      <c r="D2" s="118">
        <f>SUM(B2:C2)</f>
        <v>47</v>
      </c>
    </row>
    <row r="4" spans="1:4" x14ac:dyDescent="0.2">
      <c r="A4" s="34" t="s">
        <v>11</v>
      </c>
      <c r="B4" s="34" t="s">
        <v>30</v>
      </c>
      <c r="C4" s="34" t="s">
        <v>232</v>
      </c>
      <c r="D4" s="116" t="s">
        <v>16</v>
      </c>
    </row>
    <row r="5" spans="1:4" x14ac:dyDescent="0.2">
      <c r="A5" s="36" t="s">
        <v>20</v>
      </c>
      <c r="B5" s="36" t="s">
        <v>255</v>
      </c>
      <c r="C5" s="37">
        <v>1</v>
      </c>
      <c r="D5" s="119">
        <f>C5/30</f>
        <v>3.3333333333333333E-2</v>
      </c>
    </row>
    <row r="6" spans="1:4" x14ac:dyDescent="0.2">
      <c r="A6" s="36" t="s">
        <v>20</v>
      </c>
      <c r="B6" s="36" t="s">
        <v>256</v>
      </c>
      <c r="C6" s="37">
        <v>17</v>
      </c>
      <c r="D6" s="119">
        <f>C6/30</f>
        <v>0.56666666666666665</v>
      </c>
    </row>
    <row r="7" spans="1:4" x14ac:dyDescent="0.2">
      <c r="A7" s="36" t="s">
        <v>20</v>
      </c>
      <c r="B7" s="36" t="s">
        <v>257</v>
      </c>
      <c r="C7" s="37">
        <v>3</v>
      </c>
      <c r="D7" s="119">
        <f>C7/30</f>
        <v>0.1</v>
      </c>
    </row>
    <row r="8" spans="1:4" x14ac:dyDescent="0.2">
      <c r="A8" s="36" t="s">
        <v>20</v>
      </c>
      <c r="B8" s="36" t="s">
        <v>258</v>
      </c>
      <c r="C8" s="37">
        <v>9</v>
      </c>
      <c r="D8" s="119">
        <f>C8/30</f>
        <v>0.3</v>
      </c>
    </row>
    <row r="9" spans="1:4" x14ac:dyDescent="0.2">
      <c r="A9" s="36"/>
      <c r="B9" s="36"/>
      <c r="C9" s="37">
        <f>SUM(C5:C8)</f>
        <v>30</v>
      </c>
      <c r="D9" s="119">
        <f>SUM(D5:D8)</f>
        <v>1</v>
      </c>
    </row>
    <row r="11" spans="1:4" x14ac:dyDescent="0.2">
      <c r="A11" s="120" t="s">
        <v>11</v>
      </c>
      <c r="B11" s="120" t="s">
        <v>36</v>
      </c>
      <c r="C11" s="120" t="s">
        <v>250</v>
      </c>
      <c r="D11" s="117" t="s">
        <v>16</v>
      </c>
    </row>
    <row r="12" spans="1:4" x14ac:dyDescent="0.2">
      <c r="A12" s="40" t="s">
        <v>20</v>
      </c>
      <c r="B12" s="40" t="s">
        <v>201</v>
      </c>
      <c r="C12" s="41">
        <v>24</v>
      </c>
      <c r="D12" s="119">
        <f t="shared" ref="D12:D15" si="0">C12/30</f>
        <v>0.8</v>
      </c>
    </row>
    <row r="13" spans="1:4" x14ac:dyDescent="0.2">
      <c r="A13" s="40" t="s">
        <v>20</v>
      </c>
      <c r="B13" s="40" t="s">
        <v>41</v>
      </c>
      <c r="C13" s="41">
        <v>2</v>
      </c>
      <c r="D13" s="119">
        <f t="shared" si="0"/>
        <v>6.6666666666666666E-2</v>
      </c>
    </row>
    <row r="14" spans="1:4" x14ac:dyDescent="0.2">
      <c r="A14" s="40" t="s">
        <v>20</v>
      </c>
      <c r="B14" s="40" t="s">
        <v>40</v>
      </c>
      <c r="C14" s="41">
        <v>1</v>
      </c>
      <c r="D14" s="119">
        <f t="shared" si="0"/>
        <v>3.3333333333333333E-2</v>
      </c>
    </row>
    <row r="15" spans="1:4" ht="24" x14ac:dyDescent="0.2">
      <c r="A15" s="40" t="s">
        <v>20</v>
      </c>
      <c r="B15" s="40" t="s">
        <v>42</v>
      </c>
      <c r="C15" s="41">
        <v>3</v>
      </c>
      <c r="D15" s="119">
        <f t="shared" si="0"/>
        <v>0.1</v>
      </c>
    </row>
    <row r="16" spans="1:4" x14ac:dyDescent="0.2">
      <c r="C16" s="118">
        <f>SUM(C12:C15)</f>
        <v>30</v>
      </c>
      <c r="D16" s="119">
        <f>SUM(D12:D15)</f>
        <v>1</v>
      </c>
    </row>
    <row r="18" spans="1:4" x14ac:dyDescent="0.2">
      <c r="A18" s="42" t="s">
        <v>11</v>
      </c>
      <c r="B18" s="42" t="s">
        <v>44</v>
      </c>
      <c r="C18" s="42" t="s">
        <v>37</v>
      </c>
      <c r="D18" s="117" t="s">
        <v>16</v>
      </c>
    </row>
    <row r="19" spans="1:4" x14ac:dyDescent="0.2">
      <c r="A19" s="43" t="s">
        <v>20</v>
      </c>
      <c r="B19" s="43" t="s">
        <v>45</v>
      </c>
      <c r="C19" s="44">
        <v>7</v>
      </c>
      <c r="D19" s="119">
        <f t="shared" ref="D19:D24" si="1">C19/30</f>
        <v>0.23333333333333334</v>
      </c>
    </row>
    <row r="20" spans="1:4" x14ac:dyDescent="0.2">
      <c r="A20" s="43" t="s">
        <v>20</v>
      </c>
      <c r="B20" s="43" t="s">
        <v>46</v>
      </c>
      <c r="C20" s="44">
        <v>5</v>
      </c>
      <c r="D20" s="119">
        <f t="shared" si="1"/>
        <v>0.16666666666666666</v>
      </c>
    </row>
    <row r="21" spans="1:4" x14ac:dyDescent="0.2">
      <c r="A21" s="43" t="s">
        <v>20</v>
      </c>
      <c r="B21" s="43" t="s">
        <v>47</v>
      </c>
      <c r="C21" s="44">
        <v>10</v>
      </c>
      <c r="D21" s="119">
        <f t="shared" si="1"/>
        <v>0.33333333333333331</v>
      </c>
    </row>
    <row r="22" spans="1:4" x14ac:dyDescent="0.2">
      <c r="A22" s="43" t="s">
        <v>20</v>
      </c>
      <c r="B22" s="43" t="s">
        <v>49</v>
      </c>
      <c r="C22" s="44">
        <v>1</v>
      </c>
      <c r="D22" s="119">
        <f t="shared" si="1"/>
        <v>3.3333333333333333E-2</v>
      </c>
    </row>
    <row r="23" spans="1:4" x14ac:dyDescent="0.2">
      <c r="A23" s="43" t="s">
        <v>20</v>
      </c>
      <c r="B23" s="43" t="s">
        <v>50</v>
      </c>
      <c r="C23" s="44">
        <v>1</v>
      </c>
      <c r="D23" s="119">
        <f t="shared" si="1"/>
        <v>3.3333333333333333E-2</v>
      </c>
    </row>
    <row r="24" spans="1:4" x14ac:dyDescent="0.2">
      <c r="A24" s="43" t="s">
        <v>20</v>
      </c>
      <c r="B24" s="43" t="s">
        <v>52</v>
      </c>
      <c r="C24" s="44">
        <v>6</v>
      </c>
      <c r="D24" s="119">
        <f t="shared" si="1"/>
        <v>0.2</v>
      </c>
    </row>
    <row r="25" spans="1:4" x14ac:dyDescent="0.2">
      <c r="C25" s="118">
        <f>SUM(C19:C24)</f>
        <v>30</v>
      </c>
      <c r="D25" s="119">
        <f>SUM(D19:D24)</f>
        <v>1</v>
      </c>
    </row>
    <row r="27" spans="1:4" ht="24" x14ac:dyDescent="0.2">
      <c r="A27" s="45" t="s">
        <v>11</v>
      </c>
      <c r="B27" s="45" t="s">
        <v>176</v>
      </c>
      <c r="C27" s="45" t="s">
        <v>37</v>
      </c>
      <c r="D27" s="117" t="s">
        <v>16</v>
      </c>
    </row>
    <row r="28" spans="1:4" x14ac:dyDescent="0.2">
      <c r="A28" s="46" t="s">
        <v>20</v>
      </c>
      <c r="B28" s="46" t="s">
        <v>57</v>
      </c>
      <c r="C28" s="47">
        <v>15</v>
      </c>
      <c r="D28" s="119">
        <f t="shared" ref="D28:D29" si="2">C28/30</f>
        <v>0.5</v>
      </c>
    </row>
    <row r="29" spans="1:4" x14ac:dyDescent="0.2">
      <c r="A29" s="46" t="s">
        <v>20</v>
      </c>
      <c r="B29" s="46" t="s">
        <v>56</v>
      </c>
      <c r="C29" s="47">
        <v>15</v>
      </c>
      <c r="D29" s="119">
        <f t="shared" si="2"/>
        <v>0.5</v>
      </c>
    </row>
    <row r="30" spans="1:4" x14ac:dyDescent="0.2">
      <c r="C30" s="118">
        <f>SUM(C28:C29)</f>
        <v>30</v>
      </c>
      <c r="D30" s="119">
        <f>SUM(D28:D29)</f>
        <v>1</v>
      </c>
    </row>
    <row r="32" spans="1:4" x14ac:dyDescent="0.2">
      <c r="A32" s="48" t="s">
        <v>11</v>
      </c>
      <c r="B32" s="48" t="s">
        <v>177</v>
      </c>
      <c r="C32" s="48" t="s">
        <v>37</v>
      </c>
      <c r="D32" s="117" t="s">
        <v>16</v>
      </c>
    </row>
    <row r="33" spans="1:4" x14ac:dyDescent="0.2">
      <c r="A33" s="49" t="s">
        <v>20</v>
      </c>
      <c r="B33" s="49" t="s">
        <v>178</v>
      </c>
      <c r="C33" s="50">
        <v>2</v>
      </c>
      <c r="D33" s="119">
        <f t="shared" ref="D33:D40" si="3">C33/30</f>
        <v>6.6666666666666666E-2</v>
      </c>
    </row>
    <row r="34" spans="1:4" x14ac:dyDescent="0.2">
      <c r="A34" s="49" t="s">
        <v>20</v>
      </c>
      <c r="B34" s="49" t="s">
        <v>179</v>
      </c>
      <c r="C34" s="50">
        <v>4</v>
      </c>
      <c r="D34" s="119">
        <f t="shared" si="3"/>
        <v>0.13333333333333333</v>
      </c>
    </row>
    <row r="35" spans="1:4" x14ac:dyDescent="0.2">
      <c r="A35" s="49" t="s">
        <v>20</v>
      </c>
      <c r="B35" s="49" t="s">
        <v>180</v>
      </c>
      <c r="C35" s="50">
        <v>2</v>
      </c>
      <c r="D35" s="119">
        <f t="shared" si="3"/>
        <v>6.6666666666666666E-2</v>
      </c>
    </row>
    <row r="36" spans="1:4" x14ac:dyDescent="0.2">
      <c r="A36" s="49" t="s">
        <v>20</v>
      </c>
      <c r="B36" s="49" t="s">
        <v>181</v>
      </c>
      <c r="C36" s="50">
        <v>2</v>
      </c>
      <c r="D36" s="119">
        <f t="shared" si="3"/>
        <v>6.6666666666666666E-2</v>
      </c>
    </row>
    <row r="37" spans="1:4" ht="24" x14ac:dyDescent="0.2">
      <c r="A37" s="49" t="s">
        <v>20</v>
      </c>
      <c r="B37" s="49" t="s">
        <v>214</v>
      </c>
      <c r="C37" s="50">
        <v>2</v>
      </c>
      <c r="D37" s="119">
        <f t="shared" si="3"/>
        <v>6.6666666666666666E-2</v>
      </c>
    </row>
    <row r="38" spans="1:4" x14ac:dyDescent="0.2">
      <c r="A38" s="49" t="s">
        <v>20</v>
      </c>
      <c r="B38" s="49" t="s">
        <v>182</v>
      </c>
      <c r="C38" s="50">
        <v>10</v>
      </c>
      <c r="D38" s="119">
        <f t="shared" si="3"/>
        <v>0.33333333333333331</v>
      </c>
    </row>
    <row r="39" spans="1:4" x14ac:dyDescent="0.2">
      <c r="A39" s="49" t="s">
        <v>20</v>
      </c>
      <c r="B39" s="49" t="s">
        <v>215</v>
      </c>
      <c r="C39" s="50">
        <v>6</v>
      </c>
      <c r="D39" s="119">
        <f t="shared" si="3"/>
        <v>0.2</v>
      </c>
    </row>
    <row r="40" spans="1:4" x14ac:dyDescent="0.2">
      <c r="A40" s="49" t="s">
        <v>20</v>
      </c>
      <c r="B40" s="49" t="s">
        <v>33</v>
      </c>
      <c r="C40" s="50">
        <v>2</v>
      </c>
      <c r="D40" s="119">
        <f t="shared" si="3"/>
        <v>6.6666666666666666E-2</v>
      </c>
    </row>
    <row r="41" spans="1:4" x14ac:dyDescent="0.2">
      <c r="C41" s="118">
        <f>SUM(C33:C40)</f>
        <v>30</v>
      </c>
      <c r="D41" s="119">
        <f>SUM(D33:D40)</f>
        <v>1</v>
      </c>
    </row>
    <row r="43" spans="1:4" x14ac:dyDescent="0.2">
      <c r="A43" s="34" t="s">
        <v>11</v>
      </c>
      <c r="B43" s="34" t="s">
        <v>183</v>
      </c>
      <c r="C43" s="34" t="s">
        <v>37</v>
      </c>
      <c r="D43" s="117" t="s">
        <v>16</v>
      </c>
    </row>
    <row r="44" spans="1:4" x14ac:dyDescent="0.2">
      <c r="A44" s="36" t="s">
        <v>20</v>
      </c>
      <c r="B44" s="36" t="s">
        <v>60</v>
      </c>
      <c r="C44" s="37">
        <v>10</v>
      </c>
      <c r="D44" s="119">
        <f t="shared" ref="D44" si="4">C44/30</f>
        <v>0.33333333333333331</v>
      </c>
    </row>
    <row r="46" spans="1:4" x14ac:dyDescent="0.2">
      <c r="A46" s="34" t="s">
        <v>11</v>
      </c>
      <c r="B46" s="34" t="s">
        <v>61</v>
      </c>
      <c r="C46" s="34" t="s">
        <v>37</v>
      </c>
      <c r="D46" s="117" t="s">
        <v>16</v>
      </c>
    </row>
    <row r="47" spans="1:4" x14ac:dyDescent="0.2">
      <c r="A47" s="36" t="s">
        <v>20</v>
      </c>
      <c r="B47" s="36" t="s">
        <v>216</v>
      </c>
      <c r="C47" s="37">
        <v>6</v>
      </c>
      <c r="D47" s="119">
        <f t="shared" ref="D47:D52" si="5">C47/30</f>
        <v>0.2</v>
      </c>
    </row>
    <row r="48" spans="1:4" x14ac:dyDescent="0.2">
      <c r="A48" s="36" t="s">
        <v>20</v>
      </c>
      <c r="B48" s="36" t="s">
        <v>184</v>
      </c>
      <c r="C48" s="37">
        <v>4</v>
      </c>
      <c r="D48" s="119">
        <f t="shared" si="5"/>
        <v>0.13333333333333333</v>
      </c>
    </row>
    <row r="49" spans="1:4" x14ac:dyDescent="0.2">
      <c r="A49" s="36" t="s">
        <v>20</v>
      </c>
      <c r="B49" s="36" t="s">
        <v>185</v>
      </c>
      <c r="C49" s="37">
        <v>1</v>
      </c>
      <c r="D49" s="119">
        <f t="shared" si="5"/>
        <v>3.3333333333333333E-2</v>
      </c>
    </row>
    <row r="50" spans="1:4" x14ac:dyDescent="0.2">
      <c r="A50" s="36" t="s">
        <v>20</v>
      </c>
      <c r="B50" s="36" t="s">
        <v>217</v>
      </c>
      <c r="C50" s="37">
        <v>1</v>
      </c>
      <c r="D50" s="119">
        <f t="shared" si="5"/>
        <v>3.3333333333333333E-2</v>
      </c>
    </row>
    <row r="51" spans="1:4" x14ac:dyDescent="0.2">
      <c r="A51" s="36" t="s">
        <v>20</v>
      </c>
      <c r="B51" s="36" t="s">
        <v>259</v>
      </c>
      <c r="C51" s="37">
        <v>1</v>
      </c>
      <c r="D51" s="119">
        <f t="shared" si="5"/>
        <v>3.3333333333333333E-2</v>
      </c>
    </row>
    <row r="52" spans="1:4" x14ac:dyDescent="0.2">
      <c r="A52" s="36" t="s">
        <v>20</v>
      </c>
      <c r="B52" s="36" t="s">
        <v>33</v>
      </c>
      <c r="C52" s="37">
        <v>7</v>
      </c>
      <c r="D52" s="119">
        <f t="shared" si="5"/>
        <v>0.23333333333333334</v>
      </c>
    </row>
    <row r="53" spans="1:4" x14ac:dyDescent="0.2">
      <c r="A53" s="36"/>
      <c r="B53" s="36"/>
      <c r="C53" s="37">
        <f>SUM(C47:C52)</f>
        <v>20</v>
      </c>
      <c r="D53" s="119">
        <f>SUM(D47:D52)</f>
        <v>0.66666666666666674</v>
      </c>
    </row>
    <row r="55" spans="1:4" x14ac:dyDescent="0.2">
      <c r="A55" s="121"/>
      <c r="B55" s="122" t="s">
        <v>63</v>
      </c>
      <c r="C55" s="121"/>
      <c r="D55" s="121"/>
    </row>
    <row r="56" spans="1:4" x14ac:dyDescent="0.2">
      <c r="A56" s="42" t="s">
        <v>11</v>
      </c>
      <c r="B56" s="42" t="s">
        <v>64</v>
      </c>
      <c r="C56" s="42" t="s">
        <v>186</v>
      </c>
      <c r="D56" s="117" t="s">
        <v>16</v>
      </c>
    </row>
    <row r="57" spans="1:4" ht="24" x14ac:dyDescent="0.2">
      <c r="A57" s="43" t="s">
        <v>20</v>
      </c>
      <c r="B57" s="43" t="s">
        <v>65</v>
      </c>
      <c r="C57" s="44">
        <v>13</v>
      </c>
      <c r="D57" s="119">
        <f>C57/57</f>
        <v>0.22807017543859648</v>
      </c>
    </row>
    <row r="58" spans="1:4" x14ac:dyDescent="0.2">
      <c r="A58" s="43" t="s">
        <v>20</v>
      </c>
      <c r="B58" s="43" t="s">
        <v>74</v>
      </c>
      <c r="C58" s="44">
        <v>8</v>
      </c>
      <c r="D58" s="119">
        <f t="shared" ref="D58:D64" si="6">C58/57</f>
        <v>0.14035087719298245</v>
      </c>
    </row>
    <row r="59" spans="1:4" x14ac:dyDescent="0.2">
      <c r="A59" s="43" t="s">
        <v>20</v>
      </c>
      <c r="B59" s="43" t="s">
        <v>76</v>
      </c>
      <c r="C59" s="44">
        <v>10</v>
      </c>
      <c r="D59" s="119">
        <f t="shared" si="6"/>
        <v>0.17543859649122806</v>
      </c>
    </row>
    <row r="60" spans="1:4" x14ac:dyDescent="0.2">
      <c r="A60" s="43" t="s">
        <v>20</v>
      </c>
      <c r="B60" s="43" t="s">
        <v>77</v>
      </c>
      <c r="C60" s="44">
        <v>2</v>
      </c>
      <c r="D60" s="119">
        <f t="shared" si="6"/>
        <v>3.5087719298245612E-2</v>
      </c>
    </row>
    <row r="61" spans="1:4" x14ac:dyDescent="0.2">
      <c r="A61" s="43" t="s">
        <v>20</v>
      </c>
      <c r="B61" s="43" t="s">
        <v>66</v>
      </c>
      <c r="C61" s="44">
        <v>2</v>
      </c>
      <c r="D61" s="119">
        <f t="shared" si="6"/>
        <v>3.5087719298245612E-2</v>
      </c>
    </row>
    <row r="62" spans="1:4" x14ac:dyDescent="0.2">
      <c r="A62" s="43" t="s">
        <v>20</v>
      </c>
      <c r="B62" s="43" t="s">
        <v>68</v>
      </c>
      <c r="C62" s="44">
        <v>5</v>
      </c>
      <c r="D62" s="119">
        <f t="shared" si="6"/>
        <v>8.771929824561403E-2</v>
      </c>
    </row>
    <row r="63" spans="1:4" x14ac:dyDescent="0.2">
      <c r="A63" s="43" t="s">
        <v>20</v>
      </c>
      <c r="B63" s="43" t="s">
        <v>70</v>
      </c>
      <c r="C63" s="44">
        <v>7</v>
      </c>
      <c r="D63" s="119">
        <f t="shared" si="6"/>
        <v>0.12280701754385964</v>
      </c>
    </row>
    <row r="64" spans="1:4" x14ac:dyDescent="0.2">
      <c r="A64" s="43" t="s">
        <v>20</v>
      </c>
      <c r="B64" s="43" t="s">
        <v>71</v>
      </c>
      <c r="C64" s="44">
        <v>10</v>
      </c>
      <c r="D64" s="119">
        <f t="shared" si="6"/>
        <v>0.17543859649122806</v>
      </c>
    </row>
    <row r="65" spans="1:4" x14ac:dyDescent="0.2">
      <c r="C65" s="118">
        <f>SUM(C57:C64)</f>
        <v>57</v>
      </c>
      <c r="D65" s="119">
        <f>SUM(D57:D64)</f>
        <v>0.99999999999999989</v>
      </c>
    </row>
    <row r="67" spans="1:4" x14ac:dyDescent="0.2">
      <c r="B67" s="122" t="s">
        <v>63</v>
      </c>
    </row>
    <row r="68" spans="1:4" x14ac:dyDescent="0.2">
      <c r="A68" s="45" t="s">
        <v>11</v>
      </c>
      <c r="B68" s="45" t="s">
        <v>187</v>
      </c>
      <c r="C68" s="45" t="s">
        <v>37</v>
      </c>
      <c r="D68" s="117" t="s">
        <v>16</v>
      </c>
    </row>
    <row r="69" spans="1:4" x14ac:dyDescent="0.2">
      <c r="A69" s="46" t="s">
        <v>20</v>
      </c>
      <c r="B69" s="46" t="s">
        <v>174</v>
      </c>
      <c r="C69" s="47">
        <v>6</v>
      </c>
      <c r="D69" s="119">
        <f>C69/38</f>
        <v>0.15789473684210525</v>
      </c>
    </row>
    <row r="70" spans="1:4" x14ac:dyDescent="0.2">
      <c r="A70" s="46" t="s">
        <v>20</v>
      </c>
      <c r="B70" s="46" t="s">
        <v>81</v>
      </c>
      <c r="C70" s="47">
        <v>9</v>
      </c>
      <c r="D70" s="119">
        <f t="shared" ref="D70:D73" si="7">C70/38</f>
        <v>0.23684210526315788</v>
      </c>
    </row>
    <row r="71" spans="1:4" x14ac:dyDescent="0.2">
      <c r="A71" s="46" t="s">
        <v>20</v>
      </c>
      <c r="B71" s="46" t="s">
        <v>82</v>
      </c>
      <c r="C71" s="47">
        <v>9</v>
      </c>
      <c r="D71" s="119">
        <f t="shared" si="7"/>
        <v>0.23684210526315788</v>
      </c>
    </row>
    <row r="72" spans="1:4" ht="24" x14ac:dyDescent="0.2">
      <c r="A72" s="46" t="s">
        <v>20</v>
      </c>
      <c r="B72" s="46" t="s">
        <v>83</v>
      </c>
      <c r="C72" s="47">
        <v>6</v>
      </c>
      <c r="D72" s="119">
        <f t="shared" si="7"/>
        <v>0.15789473684210525</v>
      </c>
    </row>
    <row r="73" spans="1:4" x14ac:dyDescent="0.2">
      <c r="A73" s="46" t="s">
        <v>20</v>
      </c>
      <c r="B73" s="46" t="s">
        <v>84</v>
      </c>
      <c r="C73" s="47">
        <v>8</v>
      </c>
      <c r="D73" s="119">
        <f t="shared" si="7"/>
        <v>0.21052631578947367</v>
      </c>
    </row>
    <row r="74" spans="1:4" x14ac:dyDescent="0.2">
      <c r="C74" s="118">
        <f>SUM(C69:C73)</f>
        <v>38</v>
      </c>
      <c r="D74" s="119">
        <f>SUM(D69:D73)</f>
        <v>1</v>
      </c>
    </row>
    <row r="76" spans="1:4" x14ac:dyDescent="0.2">
      <c r="B76" s="122" t="s">
        <v>63</v>
      </c>
    </row>
    <row r="77" spans="1:4" x14ac:dyDescent="0.2">
      <c r="A77" s="48" t="s">
        <v>11</v>
      </c>
      <c r="B77" s="48" t="s">
        <v>87</v>
      </c>
      <c r="C77" s="48" t="s">
        <v>37</v>
      </c>
      <c r="D77" s="117" t="s">
        <v>16</v>
      </c>
    </row>
    <row r="78" spans="1:4" x14ac:dyDescent="0.2">
      <c r="A78" s="49" t="s">
        <v>20</v>
      </c>
      <c r="B78" s="49" t="s">
        <v>88</v>
      </c>
      <c r="C78" s="50">
        <v>4</v>
      </c>
      <c r="D78" s="119">
        <f>C78/11</f>
        <v>0.36363636363636365</v>
      </c>
    </row>
    <row r="79" spans="1:4" x14ac:dyDescent="0.2">
      <c r="A79" s="49" t="s">
        <v>20</v>
      </c>
      <c r="B79" s="49" t="s">
        <v>89</v>
      </c>
      <c r="C79" s="50">
        <v>1</v>
      </c>
      <c r="D79" s="119">
        <f t="shared" ref="D79:D82" si="8">C79/11</f>
        <v>9.0909090909090912E-2</v>
      </c>
    </row>
    <row r="80" spans="1:4" ht="24" x14ac:dyDescent="0.2">
      <c r="A80" s="49" t="s">
        <v>20</v>
      </c>
      <c r="B80" s="49" t="s">
        <v>90</v>
      </c>
      <c r="C80" s="50">
        <v>1</v>
      </c>
      <c r="D80" s="119">
        <f t="shared" si="8"/>
        <v>9.0909090909090912E-2</v>
      </c>
    </row>
    <row r="81" spans="1:5" x14ac:dyDescent="0.2">
      <c r="A81" s="49" t="s">
        <v>20</v>
      </c>
      <c r="B81" s="49" t="s">
        <v>91</v>
      </c>
      <c r="C81" s="50">
        <v>3</v>
      </c>
      <c r="D81" s="119">
        <f t="shared" si="8"/>
        <v>0.27272727272727271</v>
      </c>
    </row>
    <row r="82" spans="1:5" x14ac:dyDescent="0.2">
      <c r="A82" s="49" t="s">
        <v>20</v>
      </c>
      <c r="B82" s="49" t="s">
        <v>93</v>
      </c>
      <c r="C82" s="50">
        <v>2</v>
      </c>
      <c r="D82" s="119">
        <f t="shared" si="8"/>
        <v>0.18181818181818182</v>
      </c>
    </row>
    <row r="83" spans="1:5" x14ac:dyDescent="0.2">
      <c r="C83" s="118">
        <f>SUM(C78:C82)</f>
        <v>11</v>
      </c>
      <c r="D83" s="119">
        <f>SUM(D78:D82)</f>
        <v>1</v>
      </c>
    </row>
    <row r="85" spans="1:5" x14ac:dyDescent="0.2">
      <c r="B85" s="122" t="s">
        <v>63</v>
      </c>
    </row>
    <row r="86" spans="1:5" x14ac:dyDescent="0.2">
      <c r="A86" s="51" t="s">
        <v>11</v>
      </c>
      <c r="B86" s="51" t="s">
        <v>188</v>
      </c>
      <c r="C86" s="51" t="s">
        <v>37</v>
      </c>
      <c r="D86" s="117" t="s">
        <v>16</v>
      </c>
    </row>
    <row r="87" spans="1:5" ht="24" x14ac:dyDescent="0.2">
      <c r="A87" s="52" t="s">
        <v>20</v>
      </c>
      <c r="B87" s="52" t="s">
        <v>98</v>
      </c>
      <c r="C87" s="53">
        <v>12</v>
      </c>
      <c r="D87" s="119">
        <f>C87/36</f>
        <v>0.33333333333333331</v>
      </c>
    </row>
    <row r="88" spans="1:5" x14ac:dyDescent="0.2">
      <c r="A88" s="52" t="s">
        <v>20</v>
      </c>
      <c r="B88" s="52" t="s">
        <v>99</v>
      </c>
      <c r="C88" s="53">
        <v>6</v>
      </c>
      <c r="D88" s="119">
        <f t="shared" ref="D88:D92" si="9">C88/36</f>
        <v>0.16666666666666666</v>
      </c>
    </row>
    <row r="89" spans="1:5" x14ac:dyDescent="0.2">
      <c r="A89" s="52" t="s">
        <v>20</v>
      </c>
      <c r="B89" s="52" t="s">
        <v>101</v>
      </c>
      <c r="C89" s="53">
        <v>1</v>
      </c>
      <c r="D89" s="119">
        <f t="shared" si="9"/>
        <v>2.7777777777777776E-2</v>
      </c>
    </row>
    <row r="90" spans="1:5" x14ac:dyDescent="0.2">
      <c r="A90" s="52" t="s">
        <v>20</v>
      </c>
      <c r="B90" s="52" t="s">
        <v>102</v>
      </c>
      <c r="C90" s="53">
        <v>4</v>
      </c>
      <c r="D90" s="119">
        <f t="shared" si="9"/>
        <v>0.1111111111111111</v>
      </c>
    </row>
    <row r="91" spans="1:5" ht="24" x14ac:dyDescent="0.2">
      <c r="A91" s="52" t="s">
        <v>20</v>
      </c>
      <c r="B91" s="52" t="s">
        <v>103</v>
      </c>
      <c r="C91" s="53">
        <v>9</v>
      </c>
      <c r="D91" s="119">
        <f t="shared" si="9"/>
        <v>0.25</v>
      </c>
    </row>
    <row r="92" spans="1:5" x14ac:dyDescent="0.2">
      <c r="A92" s="52" t="s">
        <v>20</v>
      </c>
      <c r="B92" s="52" t="s">
        <v>104</v>
      </c>
      <c r="C92" s="53">
        <v>4</v>
      </c>
      <c r="D92" s="119">
        <f t="shared" si="9"/>
        <v>0.1111111111111111</v>
      </c>
    </row>
    <row r="93" spans="1:5" x14ac:dyDescent="0.2">
      <c r="C93" s="118">
        <f>SUM(C87:C92)</f>
        <v>36</v>
      </c>
      <c r="D93" s="119">
        <f>SUM(D87:D92)</f>
        <v>1</v>
      </c>
    </row>
    <row r="95" spans="1:5" ht="36" x14ac:dyDescent="0.2">
      <c r="A95" s="54" t="s">
        <v>11</v>
      </c>
      <c r="B95" s="54" t="s">
        <v>202</v>
      </c>
      <c r="C95" s="117" t="s">
        <v>203</v>
      </c>
      <c r="D95" s="117" t="s">
        <v>3</v>
      </c>
      <c r="E95" s="117" t="s">
        <v>10</v>
      </c>
    </row>
    <row r="96" spans="1:5" x14ac:dyDescent="0.2">
      <c r="A96" s="46" t="s">
        <v>20</v>
      </c>
      <c r="B96" s="47">
        <v>14</v>
      </c>
      <c r="C96" s="118">
        <v>1</v>
      </c>
      <c r="D96" s="118">
        <f>SUM(B96:C96)</f>
        <v>15</v>
      </c>
      <c r="E96" s="118">
        <v>1</v>
      </c>
    </row>
    <row r="99" spans="1:5" ht="24" x14ac:dyDescent="0.2">
      <c r="A99" s="55" t="s">
        <v>11</v>
      </c>
      <c r="B99" s="55" t="s">
        <v>189</v>
      </c>
      <c r="C99" s="56" t="s">
        <v>37</v>
      </c>
      <c r="D99" s="117" t="s">
        <v>16</v>
      </c>
    </row>
    <row r="100" spans="1:5" x14ac:dyDescent="0.2">
      <c r="A100" s="57" t="s">
        <v>20</v>
      </c>
      <c r="B100" s="57" t="s">
        <v>60</v>
      </c>
      <c r="C100" s="58">
        <v>15</v>
      </c>
      <c r="D100" s="119">
        <f>C100/30</f>
        <v>0.5</v>
      </c>
    </row>
    <row r="103" spans="1:5" ht="24" x14ac:dyDescent="0.2">
      <c r="A103" s="59" t="s">
        <v>11</v>
      </c>
      <c r="B103" s="59" t="s">
        <v>190</v>
      </c>
      <c r="C103" s="59" t="s">
        <v>37</v>
      </c>
      <c r="D103" s="117" t="s">
        <v>221</v>
      </c>
      <c r="E103" s="117" t="s">
        <v>3</v>
      </c>
    </row>
    <row r="104" spans="1:5" x14ac:dyDescent="0.2">
      <c r="A104" s="118" t="s">
        <v>20</v>
      </c>
      <c r="B104" s="118" t="s">
        <v>60</v>
      </c>
      <c r="C104" s="118">
        <v>0</v>
      </c>
      <c r="D104" s="118">
        <v>0</v>
      </c>
      <c r="E104" s="118">
        <v>0</v>
      </c>
    </row>
    <row r="107" spans="1:5" ht="24" x14ac:dyDescent="0.2">
      <c r="A107" s="62" t="s">
        <v>11</v>
      </c>
      <c r="B107" s="62" t="s">
        <v>191</v>
      </c>
      <c r="C107" s="62" t="s">
        <v>37</v>
      </c>
      <c r="D107" s="117" t="s">
        <v>16</v>
      </c>
    </row>
    <row r="108" spans="1:5" x14ac:dyDescent="0.2">
      <c r="A108" s="63" t="s">
        <v>20</v>
      </c>
      <c r="B108" s="123" t="s">
        <v>60</v>
      </c>
      <c r="C108" s="64">
        <v>5</v>
      </c>
      <c r="D108" s="119">
        <f>C108/30</f>
        <v>0.16666666666666666</v>
      </c>
    </row>
    <row r="111" spans="1:5" ht="36" x14ac:dyDescent="0.2">
      <c r="A111" s="98" t="s">
        <v>11</v>
      </c>
      <c r="B111" s="98" t="s">
        <v>222</v>
      </c>
      <c r="C111" s="98" t="s">
        <v>37</v>
      </c>
      <c r="D111" s="117" t="s">
        <v>223</v>
      </c>
    </row>
    <row r="112" spans="1:5" x14ac:dyDescent="0.2">
      <c r="A112" s="99" t="s">
        <v>20</v>
      </c>
      <c r="B112" s="124" t="s">
        <v>60</v>
      </c>
      <c r="C112" s="100">
        <v>4</v>
      </c>
      <c r="D112" s="119">
        <f>C112/5</f>
        <v>0.8</v>
      </c>
    </row>
    <row r="115" spans="1:4" x14ac:dyDescent="0.2">
      <c r="A115" s="65" t="s">
        <v>11</v>
      </c>
      <c r="B115" s="65" t="s">
        <v>192</v>
      </c>
      <c r="C115" s="65" t="s">
        <v>37</v>
      </c>
      <c r="D115" s="117" t="s">
        <v>16</v>
      </c>
    </row>
    <row r="116" spans="1:4" x14ac:dyDescent="0.2">
      <c r="A116" s="118" t="s">
        <v>20</v>
      </c>
      <c r="B116" s="125" t="s">
        <v>60</v>
      </c>
      <c r="C116" s="118">
        <v>0</v>
      </c>
      <c r="D116" s="118">
        <v>0</v>
      </c>
    </row>
    <row r="119" spans="1:4" ht="24" x14ac:dyDescent="0.2">
      <c r="A119" s="101" t="s">
        <v>11</v>
      </c>
      <c r="B119" s="101" t="s">
        <v>251</v>
      </c>
      <c r="C119" s="117" t="s">
        <v>16</v>
      </c>
    </row>
    <row r="120" spans="1:4" x14ac:dyDescent="0.2">
      <c r="A120" s="102" t="s">
        <v>20</v>
      </c>
      <c r="B120" s="103">
        <v>17</v>
      </c>
      <c r="C120" s="119">
        <f>B120/30</f>
        <v>0.56666666666666665</v>
      </c>
    </row>
    <row r="123" spans="1:4" x14ac:dyDescent="0.2">
      <c r="A123" s="68" t="s">
        <v>11</v>
      </c>
      <c r="B123" s="68" t="s">
        <v>193</v>
      </c>
      <c r="C123" s="68" t="s">
        <v>37</v>
      </c>
      <c r="D123" s="117" t="s">
        <v>16</v>
      </c>
    </row>
    <row r="124" spans="1:4" x14ac:dyDescent="0.2">
      <c r="A124" s="102" t="s">
        <v>20</v>
      </c>
      <c r="B124" s="102" t="s">
        <v>118</v>
      </c>
      <c r="C124" s="103">
        <v>10</v>
      </c>
      <c r="D124" s="119">
        <f>C124/17</f>
        <v>0.58823529411764708</v>
      </c>
    </row>
    <row r="125" spans="1:4" x14ac:dyDescent="0.2">
      <c r="A125" s="102" t="s">
        <v>20</v>
      </c>
      <c r="B125" s="102" t="s">
        <v>119</v>
      </c>
      <c r="C125" s="103">
        <v>4</v>
      </c>
      <c r="D125" s="119">
        <f>C125/17</f>
        <v>0.23529411764705882</v>
      </c>
    </row>
    <row r="126" spans="1:4" x14ac:dyDescent="0.2">
      <c r="A126" s="102" t="s">
        <v>20</v>
      </c>
      <c r="B126" s="102" t="s">
        <v>120</v>
      </c>
      <c r="C126" s="103">
        <v>3</v>
      </c>
      <c r="D126" s="119">
        <f>C126/17</f>
        <v>0.17647058823529413</v>
      </c>
    </row>
    <row r="127" spans="1:4" x14ac:dyDescent="0.2">
      <c r="C127" s="118">
        <f>SUM(C124:C126)</f>
        <v>17</v>
      </c>
    </row>
    <row r="129" spans="1:6" x14ac:dyDescent="0.2">
      <c r="A129" s="71" t="s">
        <v>11</v>
      </c>
      <c r="B129" s="71" t="s">
        <v>124</v>
      </c>
      <c r="C129" s="71" t="s">
        <v>175</v>
      </c>
      <c r="D129" s="71" t="s">
        <v>194</v>
      </c>
      <c r="E129" s="71" t="s">
        <v>3</v>
      </c>
      <c r="F129" s="71" t="s">
        <v>16</v>
      </c>
    </row>
    <row r="130" spans="1:6" s="129" customFormat="1" x14ac:dyDescent="0.2">
      <c r="A130" s="126" t="s">
        <v>20</v>
      </c>
      <c r="B130" s="126" t="s">
        <v>195</v>
      </c>
      <c r="C130" s="113">
        <v>0</v>
      </c>
      <c r="D130" s="113">
        <v>13</v>
      </c>
      <c r="E130" s="127">
        <f>SUM(C130:D130)</f>
        <v>13</v>
      </c>
      <c r="F130" s="128">
        <f>E130/47</f>
        <v>0.27659574468085107</v>
      </c>
    </row>
    <row r="131" spans="1:6" x14ac:dyDescent="0.2">
      <c r="A131" s="76" t="s">
        <v>20</v>
      </c>
      <c r="B131" s="76" t="s">
        <v>128</v>
      </c>
      <c r="C131" s="77">
        <v>4</v>
      </c>
      <c r="D131" s="118">
        <v>1</v>
      </c>
      <c r="E131" s="127">
        <f t="shared" ref="E131:E136" si="10">SUM(C131:D131)</f>
        <v>5</v>
      </c>
      <c r="F131" s="128">
        <f t="shared" ref="F131:F136" si="11">E131/47</f>
        <v>0.10638297872340426</v>
      </c>
    </row>
    <row r="132" spans="1:6" x14ac:dyDescent="0.2">
      <c r="A132" s="76" t="s">
        <v>20</v>
      </c>
      <c r="B132" s="76" t="s">
        <v>129</v>
      </c>
      <c r="C132" s="77">
        <v>5</v>
      </c>
      <c r="D132" s="118">
        <v>2</v>
      </c>
      <c r="E132" s="127">
        <f t="shared" si="10"/>
        <v>7</v>
      </c>
      <c r="F132" s="128">
        <f t="shared" si="11"/>
        <v>0.14893617021276595</v>
      </c>
    </row>
    <row r="133" spans="1:6" x14ac:dyDescent="0.2">
      <c r="A133" s="76" t="s">
        <v>20</v>
      </c>
      <c r="B133" s="76" t="s">
        <v>130</v>
      </c>
      <c r="C133" s="77">
        <v>4</v>
      </c>
      <c r="D133" s="118">
        <v>0</v>
      </c>
      <c r="E133" s="127">
        <f t="shared" si="10"/>
        <v>4</v>
      </c>
      <c r="F133" s="128">
        <f t="shared" si="11"/>
        <v>8.5106382978723402E-2</v>
      </c>
    </row>
    <row r="134" spans="1:6" x14ac:dyDescent="0.2">
      <c r="A134" s="76" t="s">
        <v>20</v>
      </c>
      <c r="B134" s="76" t="s">
        <v>131</v>
      </c>
      <c r="C134" s="77">
        <v>10</v>
      </c>
      <c r="D134" s="118">
        <v>1</v>
      </c>
      <c r="E134" s="127">
        <f t="shared" si="10"/>
        <v>11</v>
      </c>
      <c r="F134" s="128">
        <f t="shared" si="11"/>
        <v>0.23404255319148937</v>
      </c>
    </row>
    <row r="135" spans="1:6" x14ac:dyDescent="0.2">
      <c r="A135" s="76" t="s">
        <v>20</v>
      </c>
      <c r="B135" s="76" t="s">
        <v>132</v>
      </c>
      <c r="C135" s="77">
        <v>4</v>
      </c>
      <c r="D135" s="118">
        <v>0</v>
      </c>
      <c r="E135" s="127">
        <f t="shared" si="10"/>
        <v>4</v>
      </c>
      <c r="F135" s="128">
        <f t="shared" si="11"/>
        <v>8.5106382978723402E-2</v>
      </c>
    </row>
    <row r="136" spans="1:6" x14ac:dyDescent="0.2">
      <c r="A136" s="76" t="s">
        <v>20</v>
      </c>
      <c r="B136" s="76" t="s">
        <v>133</v>
      </c>
      <c r="C136" s="77">
        <v>3</v>
      </c>
      <c r="D136" s="118">
        <v>0</v>
      </c>
      <c r="E136" s="127">
        <f t="shared" si="10"/>
        <v>3</v>
      </c>
      <c r="F136" s="128">
        <f t="shared" si="11"/>
        <v>6.3829787234042548E-2</v>
      </c>
    </row>
    <row r="137" spans="1:6" x14ac:dyDescent="0.2">
      <c r="C137" s="118">
        <f>SUM(C130:C136)</f>
        <v>30</v>
      </c>
      <c r="D137" s="118">
        <f>SUM(D130:D136)</f>
        <v>17</v>
      </c>
      <c r="E137" s="125">
        <f>SUM(E130:E136)</f>
        <v>47</v>
      </c>
      <c r="F137" s="130">
        <f>SUM(F130:F136)</f>
        <v>1</v>
      </c>
    </row>
    <row r="139" spans="1:6" x14ac:dyDescent="0.2">
      <c r="A139" s="78" t="s">
        <v>11</v>
      </c>
      <c r="B139" s="78" t="s">
        <v>135</v>
      </c>
      <c r="C139" s="78" t="s">
        <v>196</v>
      </c>
      <c r="D139" s="78" t="s">
        <v>197</v>
      </c>
      <c r="E139" s="78" t="s">
        <v>3</v>
      </c>
      <c r="F139" s="78" t="s">
        <v>16</v>
      </c>
    </row>
    <row r="140" spans="1:6" x14ac:dyDescent="0.2">
      <c r="A140" s="79" t="s">
        <v>20</v>
      </c>
      <c r="B140" s="79" t="s">
        <v>137</v>
      </c>
      <c r="C140" s="80">
        <v>22</v>
      </c>
      <c r="D140" s="118">
        <v>6</v>
      </c>
      <c r="E140" s="127">
        <f>SUM(C140:D140)</f>
        <v>28</v>
      </c>
      <c r="F140" s="128">
        <f t="shared" ref="F140:F141" si="12">E140/47</f>
        <v>0.5957446808510638</v>
      </c>
    </row>
    <row r="141" spans="1:6" x14ac:dyDescent="0.2">
      <c r="A141" s="79" t="s">
        <v>20</v>
      </c>
      <c r="B141" s="79" t="s">
        <v>140</v>
      </c>
      <c r="C141" s="80">
        <v>8</v>
      </c>
      <c r="D141" s="118">
        <v>11</v>
      </c>
      <c r="E141" s="127">
        <f>SUM(C141:D141)</f>
        <v>19</v>
      </c>
      <c r="F141" s="128">
        <f t="shared" si="12"/>
        <v>0.40425531914893614</v>
      </c>
    </row>
    <row r="142" spans="1:6" x14ac:dyDescent="0.2">
      <c r="C142" s="118">
        <f>SUM(C140:C141)</f>
        <v>30</v>
      </c>
      <c r="D142" s="118">
        <f>SUM(D140:D141)</f>
        <v>17</v>
      </c>
      <c r="E142" s="125">
        <f>SUM(E140:E141)</f>
        <v>47</v>
      </c>
      <c r="F142" s="130">
        <f>SUM(F140:F141)</f>
        <v>1</v>
      </c>
    </row>
    <row r="144" spans="1:6" x14ac:dyDescent="0.2">
      <c r="A144" s="78" t="s">
        <v>11</v>
      </c>
      <c r="B144" s="78" t="s">
        <v>198</v>
      </c>
      <c r="C144" s="78" t="s">
        <v>196</v>
      </c>
      <c r="D144" s="78" t="s">
        <v>197</v>
      </c>
      <c r="E144" s="78" t="s">
        <v>3</v>
      </c>
      <c r="F144" s="78" t="s">
        <v>16</v>
      </c>
    </row>
    <row r="145" spans="1:6" x14ac:dyDescent="0.2">
      <c r="A145" s="107" t="s">
        <v>20</v>
      </c>
      <c r="B145" s="107" t="s">
        <v>60</v>
      </c>
      <c r="C145" s="108">
        <v>5</v>
      </c>
      <c r="D145" s="118">
        <v>8</v>
      </c>
      <c r="E145" s="118">
        <f>SUM(C145:D145)</f>
        <v>13</v>
      </c>
      <c r="F145" s="128">
        <f t="shared" ref="F145" si="13">E145/47</f>
        <v>0.27659574468085107</v>
      </c>
    </row>
    <row r="148" spans="1:6" x14ac:dyDescent="0.2">
      <c r="A148" s="82" t="s">
        <v>11</v>
      </c>
      <c r="B148" s="82" t="s">
        <v>199</v>
      </c>
      <c r="C148" s="82" t="s">
        <v>200</v>
      </c>
      <c r="D148" s="117" t="s">
        <v>125</v>
      </c>
      <c r="E148" s="82" t="s">
        <v>3</v>
      </c>
      <c r="F148" s="82" t="s">
        <v>16</v>
      </c>
    </row>
    <row r="149" spans="1:6" x14ac:dyDescent="0.2">
      <c r="A149" s="83" t="s">
        <v>20</v>
      </c>
      <c r="B149" s="83" t="s">
        <v>145</v>
      </c>
      <c r="C149" s="84">
        <v>20</v>
      </c>
      <c r="D149" s="84">
        <v>8</v>
      </c>
      <c r="E149" s="84">
        <f>SUM(C149:D149)</f>
        <v>28</v>
      </c>
      <c r="F149" s="128">
        <f t="shared" ref="F149:F150" si="14">E149/47</f>
        <v>0.5957446808510638</v>
      </c>
    </row>
    <row r="150" spans="1:6" x14ac:dyDescent="0.2">
      <c r="A150" s="83" t="s">
        <v>20</v>
      </c>
      <c r="B150" s="83" t="s">
        <v>146</v>
      </c>
      <c r="C150" s="84">
        <v>10</v>
      </c>
      <c r="D150" s="84">
        <v>9</v>
      </c>
      <c r="E150" s="84">
        <f>SUM(C150:D150)</f>
        <v>19</v>
      </c>
      <c r="F150" s="128">
        <f t="shared" si="14"/>
        <v>0.40425531914893614</v>
      </c>
    </row>
    <row r="151" spans="1:6" x14ac:dyDescent="0.2">
      <c r="C151" s="118">
        <f>SUM(C149:C150)</f>
        <v>30</v>
      </c>
      <c r="D151" s="118">
        <f>SUM(D149:D150)</f>
        <v>17</v>
      </c>
      <c r="E151" s="118">
        <f>SUM(E149:E150)</f>
        <v>47</v>
      </c>
      <c r="F151" s="130">
        <f>SUM(F149:F150)</f>
        <v>1</v>
      </c>
    </row>
    <row r="153" spans="1:6" ht="24" x14ac:dyDescent="0.2">
      <c r="A153" s="121"/>
      <c r="B153" s="131" t="s">
        <v>204</v>
      </c>
      <c r="C153" s="121"/>
      <c r="D153" s="121"/>
      <c r="E153" s="121"/>
      <c r="F153" s="121"/>
    </row>
    <row r="154" spans="1:6" ht="24" x14ac:dyDescent="0.2">
      <c r="A154" s="85" t="s">
        <v>11</v>
      </c>
      <c r="B154" s="85" t="s">
        <v>205</v>
      </c>
      <c r="C154" s="85" t="s">
        <v>206</v>
      </c>
      <c r="D154" s="85" t="s">
        <v>207</v>
      </c>
      <c r="E154" s="117" t="s">
        <v>16</v>
      </c>
      <c r="F154" s="85" t="s">
        <v>208</v>
      </c>
    </row>
    <row r="155" spans="1:6" x14ac:dyDescent="0.2">
      <c r="A155" s="86" t="s">
        <v>20</v>
      </c>
      <c r="B155" s="86" t="s">
        <v>226</v>
      </c>
      <c r="C155" s="87">
        <v>1</v>
      </c>
      <c r="D155" s="87">
        <v>27</v>
      </c>
      <c r="E155" s="119">
        <f>D155/38</f>
        <v>0.71052631578947367</v>
      </c>
      <c r="F155" s="87">
        <v>28</v>
      </c>
    </row>
    <row r="156" spans="1:6" x14ac:dyDescent="0.2">
      <c r="A156" s="86" t="s">
        <v>20</v>
      </c>
      <c r="B156" s="86" t="s">
        <v>211</v>
      </c>
      <c r="C156" s="87">
        <v>1</v>
      </c>
      <c r="D156" s="87">
        <v>11</v>
      </c>
      <c r="E156" s="119">
        <f>D156/38</f>
        <v>0.28947368421052633</v>
      </c>
      <c r="F156" s="87">
        <v>11</v>
      </c>
    </row>
    <row r="157" spans="1:6" x14ac:dyDescent="0.2">
      <c r="C157" s="118">
        <f>SUM(C155:C156)</f>
        <v>2</v>
      </c>
      <c r="D157" s="118">
        <f>SUM(D155:D156)</f>
        <v>38</v>
      </c>
      <c r="E157" s="119">
        <f>SUM(E155:E156)</f>
        <v>1</v>
      </c>
      <c r="F157" s="118">
        <f>SUM(F155:F156)</f>
        <v>39</v>
      </c>
    </row>
    <row r="158" spans="1:6" x14ac:dyDescent="0.2">
      <c r="F158" s="119">
        <f>D157/39</f>
        <v>0.97435897435897434</v>
      </c>
    </row>
  </sheetData>
  <printOptions horizontalCentered="1"/>
  <pageMargins left="0.7" right="0.7" top="0.75" bottom="0.75" header="0.3" footer="0.3"/>
  <pageSetup orientation="portrait" horizontalDpi="4294967293" verticalDpi="4294967293" r:id="rId1"/>
  <headerFooter>
    <oddHeader>&amp;L&amp;"-,Bold"&amp;8Gila County&amp;C&amp;"-,Bold"&amp;8AZ Balance of State
Continuum of Care
2018 Point In Time Data Report &amp;R&amp;"-,Bold"&amp;8&amp;P of &amp;N
&amp;D</oddHeader>
  </headerFooter>
  <rowBreaks count="2" manualBreakCount="2">
    <brk id="44" max="16383" man="1"/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zoomScale="130" zoomScaleNormal="130" workbookViewId="0">
      <selection activeCell="D22" sqref="D22"/>
    </sheetView>
  </sheetViews>
  <sheetFormatPr defaultColWidth="8.85546875" defaultRowHeight="12" x14ac:dyDescent="0.2"/>
  <cols>
    <col min="1" max="1" width="11.28515625" style="90" customWidth="1"/>
    <col min="2" max="2" width="24.5703125" style="90" customWidth="1"/>
    <col min="3" max="3" width="15.140625" style="90" customWidth="1"/>
    <col min="4" max="4" width="13.28515625" style="90" customWidth="1"/>
    <col min="5" max="16384" width="8.85546875" style="90"/>
  </cols>
  <sheetData>
    <row r="1" spans="1:4" x14ac:dyDescent="0.2">
      <c r="A1" s="88" t="s">
        <v>11</v>
      </c>
      <c r="B1" s="88" t="s">
        <v>175</v>
      </c>
      <c r="C1" s="91" t="s">
        <v>228</v>
      </c>
      <c r="D1" s="94" t="s">
        <v>3</v>
      </c>
    </row>
    <row r="2" spans="1:4" x14ac:dyDescent="0.2">
      <c r="A2" s="36" t="s">
        <v>21</v>
      </c>
      <c r="B2" s="37">
        <v>10</v>
      </c>
      <c r="C2" s="90">
        <v>3</v>
      </c>
      <c r="D2" s="90">
        <f>SUM(B2:C2)</f>
        <v>13</v>
      </c>
    </row>
    <row r="4" spans="1:4" x14ac:dyDescent="0.2">
      <c r="A4" s="88" t="s">
        <v>11</v>
      </c>
      <c r="B4" s="88" t="s">
        <v>30</v>
      </c>
      <c r="C4" s="88" t="s">
        <v>232</v>
      </c>
      <c r="D4" s="91" t="s">
        <v>16</v>
      </c>
    </row>
    <row r="5" spans="1:4" x14ac:dyDescent="0.2">
      <c r="A5" s="36" t="s">
        <v>21</v>
      </c>
      <c r="B5" s="36" t="s">
        <v>261</v>
      </c>
      <c r="C5" s="37">
        <v>10</v>
      </c>
      <c r="D5" s="132">
        <v>1</v>
      </c>
    </row>
    <row r="7" spans="1:4" x14ac:dyDescent="0.2">
      <c r="A7" s="38" t="s">
        <v>11</v>
      </c>
      <c r="B7" s="38" t="s">
        <v>36</v>
      </c>
      <c r="C7" s="38" t="s">
        <v>250</v>
      </c>
      <c r="D7" s="39" t="s">
        <v>16</v>
      </c>
    </row>
    <row r="8" spans="1:4" x14ac:dyDescent="0.2">
      <c r="A8" s="40" t="s">
        <v>21</v>
      </c>
      <c r="B8" s="40" t="s">
        <v>201</v>
      </c>
      <c r="C8" s="41">
        <v>7</v>
      </c>
      <c r="D8" s="133">
        <f>C8/10</f>
        <v>0.7</v>
      </c>
    </row>
    <row r="9" spans="1:4" x14ac:dyDescent="0.2">
      <c r="A9" s="40" t="s">
        <v>21</v>
      </c>
      <c r="B9" s="40" t="s">
        <v>41</v>
      </c>
      <c r="C9" s="41">
        <v>3</v>
      </c>
      <c r="D9" s="133">
        <f>C9/10</f>
        <v>0.3</v>
      </c>
    </row>
    <row r="10" spans="1:4" x14ac:dyDescent="0.2">
      <c r="C10" s="90">
        <f>SUM(C8:C9)</f>
        <v>10</v>
      </c>
      <c r="D10" s="92">
        <f>SUM(D8:D9)</f>
        <v>1</v>
      </c>
    </row>
    <row r="12" spans="1:4" x14ac:dyDescent="0.2">
      <c r="A12" s="93" t="s">
        <v>11</v>
      </c>
      <c r="B12" s="93" t="s">
        <v>44</v>
      </c>
      <c r="C12" s="93" t="s">
        <v>37</v>
      </c>
      <c r="D12" s="94" t="s">
        <v>16</v>
      </c>
    </row>
    <row r="13" spans="1:4" x14ac:dyDescent="0.2">
      <c r="A13" s="43" t="s">
        <v>21</v>
      </c>
      <c r="B13" s="43" t="s">
        <v>46</v>
      </c>
      <c r="C13" s="44">
        <v>5</v>
      </c>
      <c r="D13" s="133">
        <f t="shared" ref="D13:D16" si="0">C13/10</f>
        <v>0.5</v>
      </c>
    </row>
    <row r="14" spans="1:4" x14ac:dyDescent="0.2">
      <c r="A14" s="43" t="s">
        <v>21</v>
      </c>
      <c r="B14" s="43" t="s">
        <v>47</v>
      </c>
      <c r="C14" s="44">
        <v>3</v>
      </c>
      <c r="D14" s="133">
        <f t="shared" si="0"/>
        <v>0.3</v>
      </c>
    </row>
    <row r="15" spans="1:4" x14ac:dyDescent="0.2">
      <c r="A15" s="43" t="s">
        <v>21</v>
      </c>
      <c r="B15" s="43" t="s">
        <v>48</v>
      </c>
      <c r="C15" s="44">
        <v>1</v>
      </c>
      <c r="D15" s="133">
        <f t="shared" si="0"/>
        <v>0.1</v>
      </c>
    </row>
    <row r="16" spans="1:4" x14ac:dyDescent="0.2">
      <c r="A16" s="43" t="s">
        <v>21</v>
      </c>
      <c r="B16" s="43" t="s">
        <v>50</v>
      </c>
      <c r="C16" s="44">
        <v>1</v>
      </c>
      <c r="D16" s="133">
        <f t="shared" si="0"/>
        <v>0.1</v>
      </c>
    </row>
    <row r="17" spans="1:4" x14ac:dyDescent="0.2">
      <c r="C17" s="90">
        <f>SUM(C13:C16)</f>
        <v>10</v>
      </c>
      <c r="D17" s="92">
        <f>SUM(D13:D16)</f>
        <v>1</v>
      </c>
    </row>
    <row r="19" spans="1:4" x14ac:dyDescent="0.2">
      <c r="A19" s="45" t="s">
        <v>11</v>
      </c>
      <c r="B19" s="45" t="s">
        <v>176</v>
      </c>
      <c r="C19" s="45" t="s">
        <v>37</v>
      </c>
      <c r="D19" s="5" t="s">
        <v>16</v>
      </c>
    </row>
    <row r="20" spans="1:4" x14ac:dyDescent="0.2">
      <c r="A20" s="46" t="s">
        <v>21</v>
      </c>
      <c r="B20" s="46" t="s">
        <v>57</v>
      </c>
      <c r="C20" s="47">
        <v>6</v>
      </c>
      <c r="D20" s="133">
        <f t="shared" ref="D20:D21" si="1">C20/10</f>
        <v>0.6</v>
      </c>
    </row>
    <row r="21" spans="1:4" x14ac:dyDescent="0.2">
      <c r="A21" s="46" t="s">
        <v>21</v>
      </c>
      <c r="B21" s="46" t="s">
        <v>56</v>
      </c>
      <c r="C21" s="47">
        <v>4</v>
      </c>
      <c r="D21" s="133">
        <f t="shared" si="1"/>
        <v>0.4</v>
      </c>
    </row>
    <row r="22" spans="1:4" x14ac:dyDescent="0.2">
      <c r="C22" s="90">
        <f>SUM(C20:C21)</f>
        <v>10</v>
      </c>
    </row>
    <row r="24" spans="1:4" x14ac:dyDescent="0.2">
      <c r="A24" s="48" t="s">
        <v>11</v>
      </c>
      <c r="B24" s="48" t="s">
        <v>177</v>
      </c>
      <c r="C24" s="48" t="s">
        <v>37</v>
      </c>
      <c r="D24" s="5" t="s">
        <v>16</v>
      </c>
    </row>
    <row r="25" spans="1:4" x14ac:dyDescent="0.2">
      <c r="A25" s="49" t="s">
        <v>21</v>
      </c>
      <c r="B25" s="49" t="s">
        <v>179</v>
      </c>
      <c r="C25" s="50">
        <v>1</v>
      </c>
      <c r="D25" s="133">
        <f t="shared" ref="D25:D28" si="2">C25/10</f>
        <v>0.1</v>
      </c>
    </row>
    <row r="26" spans="1:4" ht="24" x14ac:dyDescent="0.2">
      <c r="A26" s="49" t="s">
        <v>21</v>
      </c>
      <c r="B26" s="49" t="s">
        <v>214</v>
      </c>
      <c r="C26" s="50">
        <v>2</v>
      </c>
      <c r="D26" s="133">
        <f t="shared" si="2"/>
        <v>0.2</v>
      </c>
    </row>
    <row r="27" spans="1:4" x14ac:dyDescent="0.2">
      <c r="A27" s="49" t="s">
        <v>21</v>
      </c>
      <c r="B27" s="49" t="s">
        <v>182</v>
      </c>
      <c r="C27" s="50">
        <v>4</v>
      </c>
      <c r="D27" s="133">
        <f t="shared" si="2"/>
        <v>0.4</v>
      </c>
    </row>
    <row r="28" spans="1:4" x14ac:dyDescent="0.2">
      <c r="A28" s="49" t="s">
        <v>21</v>
      </c>
      <c r="B28" s="49" t="s">
        <v>215</v>
      </c>
      <c r="C28" s="50">
        <v>3</v>
      </c>
      <c r="D28" s="133">
        <f t="shared" si="2"/>
        <v>0.3</v>
      </c>
    </row>
    <row r="29" spans="1:4" x14ac:dyDescent="0.2">
      <c r="C29" s="90">
        <f>SUM(C25:C28)</f>
        <v>10</v>
      </c>
    </row>
    <row r="31" spans="1:4" x14ac:dyDescent="0.2">
      <c r="A31" s="34" t="s">
        <v>11</v>
      </c>
      <c r="B31" s="34" t="s">
        <v>183</v>
      </c>
      <c r="C31" s="34" t="s">
        <v>37</v>
      </c>
      <c r="D31" s="5" t="s">
        <v>16</v>
      </c>
    </row>
    <row r="32" spans="1:4" x14ac:dyDescent="0.2">
      <c r="A32" s="36" t="s">
        <v>21</v>
      </c>
      <c r="B32" s="36" t="s">
        <v>60</v>
      </c>
      <c r="C32" s="37">
        <v>5</v>
      </c>
      <c r="D32" s="133">
        <f t="shared" ref="D32" si="3">C32/10</f>
        <v>0.5</v>
      </c>
    </row>
    <row r="35" spans="1:4" x14ac:dyDescent="0.2">
      <c r="A35" s="34" t="s">
        <v>11</v>
      </c>
      <c r="B35" s="34" t="s">
        <v>61</v>
      </c>
      <c r="C35" s="34" t="s">
        <v>37</v>
      </c>
      <c r="D35" s="5" t="s">
        <v>16</v>
      </c>
    </row>
    <row r="36" spans="1:4" x14ac:dyDescent="0.2">
      <c r="A36" s="36" t="s">
        <v>21</v>
      </c>
      <c r="B36" s="36" t="s">
        <v>184</v>
      </c>
      <c r="C36" s="37">
        <v>1</v>
      </c>
      <c r="D36" s="133">
        <f t="shared" ref="D36:D37" si="4">C36/10</f>
        <v>0.1</v>
      </c>
    </row>
    <row r="37" spans="1:4" x14ac:dyDescent="0.2">
      <c r="A37" s="90" t="s">
        <v>21</v>
      </c>
      <c r="B37" s="90" t="s">
        <v>33</v>
      </c>
      <c r="C37" s="90">
        <v>4</v>
      </c>
      <c r="D37" s="133">
        <f t="shared" si="4"/>
        <v>0.4</v>
      </c>
    </row>
    <row r="38" spans="1:4" x14ac:dyDescent="0.2">
      <c r="C38" s="90">
        <f>SUM(C36:C37)</f>
        <v>5</v>
      </c>
      <c r="D38" s="92">
        <f>SUM(D36:D37)</f>
        <v>0.5</v>
      </c>
    </row>
    <row r="40" spans="1:4" x14ac:dyDescent="0.2">
      <c r="A40" s="12"/>
      <c r="B40" s="24" t="s">
        <v>63</v>
      </c>
      <c r="C40" s="12"/>
      <c r="D40" s="12"/>
    </row>
    <row r="41" spans="1:4" x14ac:dyDescent="0.2">
      <c r="A41" s="42" t="s">
        <v>11</v>
      </c>
      <c r="B41" s="42" t="s">
        <v>64</v>
      </c>
      <c r="C41" s="42" t="s">
        <v>186</v>
      </c>
      <c r="D41" s="5" t="s">
        <v>16</v>
      </c>
    </row>
    <row r="42" spans="1:4" ht="24" x14ac:dyDescent="0.2">
      <c r="A42" s="43" t="s">
        <v>21</v>
      </c>
      <c r="B42" s="43" t="s">
        <v>65</v>
      </c>
      <c r="C42" s="44">
        <v>3</v>
      </c>
      <c r="D42" s="6">
        <f>C42/16</f>
        <v>0.1875</v>
      </c>
    </row>
    <row r="43" spans="1:4" x14ac:dyDescent="0.2">
      <c r="A43" s="43" t="s">
        <v>21</v>
      </c>
      <c r="B43" s="43" t="s">
        <v>74</v>
      </c>
      <c r="C43" s="44">
        <v>2</v>
      </c>
      <c r="D43" s="6">
        <f t="shared" ref="D43:D48" si="5">C43/16</f>
        <v>0.125</v>
      </c>
    </row>
    <row r="44" spans="1:4" x14ac:dyDescent="0.2">
      <c r="A44" s="43" t="s">
        <v>21</v>
      </c>
      <c r="B44" s="43" t="s">
        <v>260</v>
      </c>
      <c r="C44" s="44">
        <v>2</v>
      </c>
      <c r="D44" s="6">
        <f t="shared" si="5"/>
        <v>0.125</v>
      </c>
    </row>
    <row r="45" spans="1:4" x14ac:dyDescent="0.2">
      <c r="A45" s="43" t="s">
        <v>21</v>
      </c>
      <c r="B45" s="43" t="s">
        <v>67</v>
      </c>
      <c r="C45" s="44">
        <v>1</v>
      </c>
      <c r="D45" s="6">
        <f t="shared" si="5"/>
        <v>6.25E-2</v>
      </c>
    </row>
    <row r="46" spans="1:4" x14ac:dyDescent="0.2">
      <c r="A46" s="43" t="s">
        <v>21</v>
      </c>
      <c r="B46" s="43" t="s">
        <v>68</v>
      </c>
      <c r="C46" s="44">
        <v>5</v>
      </c>
      <c r="D46" s="6">
        <f t="shared" si="5"/>
        <v>0.3125</v>
      </c>
    </row>
    <row r="47" spans="1:4" x14ac:dyDescent="0.2">
      <c r="A47" s="43" t="s">
        <v>21</v>
      </c>
      <c r="B47" s="43" t="s">
        <v>70</v>
      </c>
      <c r="C47" s="44">
        <v>1</v>
      </c>
      <c r="D47" s="6">
        <f t="shared" si="5"/>
        <v>6.25E-2</v>
      </c>
    </row>
    <row r="48" spans="1:4" x14ac:dyDescent="0.2">
      <c r="A48" s="43" t="s">
        <v>21</v>
      </c>
      <c r="B48" s="43" t="s">
        <v>71</v>
      </c>
      <c r="C48" s="44">
        <v>2</v>
      </c>
      <c r="D48" s="6">
        <f t="shared" si="5"/>
        <v>0.125</v>
      </c>
    </row>
    <row r="49" spans="1:4" x14ac:dyDescent="0.2">
      <c r="C49" s="90">
        <f>SUM(C42:C48)</f>
        <v>16</v>
      </c>
      <c r="D49" s="92">
        <f>SUM(D42:D48)</f>
        <v>1</v>
      </c>
    </row>
    <row r="51" spans="1:4" x14ac:dyDescent="0.2">
      <c r="B51" s="24" t="s">
        <v>63</v>
      </c>
    </row>
    <row r="52" spans="1:4" x14ac:dyDescent="0.2">
      <c r="A52" s="95" t="s">
        <v>11</v>
      </c>
      <c r="B52" s="95" t="s">
        <v>187</v>
      </c>
      <c r="C52" s="95" t="s">
        <v>37</v>
      </c>
      <c r="D52" s="94" t="s">
        <v>16</v>
      </c>
    </row>
    <row r="53" spans="1:4" x14ac:dyDescent="0.2">
      <c r="A53" s="46" t="s">
        <v>21</v>
      </c>
      <c r="B53" s="46" t="s">
        <v>174</v>
      </c>
      <c r="C53" s="47">
        <v>6</v>
      </c>
      <c r="D53" s="6">
        <f>C53/17</f>
        <v>0.35294117647058826</v>
      </c>
    </row>
    <row r="54" spans="1:4" x14ac:dyDescent="0.2">
      <c r="A54" s="46" t="s">
        <v>21</v>
      </c>
      <c r="B54" s="46" t="s">
        <v>81</v>
      </c>
      <c r="C54" s="47">
        <v>3</v>
      </c>
      <c r="D54" s="6">
        <f t="shared" ref="D54:D57" si="6">C54/17</f>
        <v>0.17647058823529413</v>
      </c>
    </row>
    <row r="55" spans="1:4" x14ac:dyDescent="0.2">
      <c r="A55" s="46" t="s">
        <v>21</v>
      </c>
      <c r="B55" s="46" t="s">
        <v>82</v>
      </c>
      <c r="C55" s="47">
        <v>2</v>
      </c>
      <c r="D55" s="6">
        <f t="shared" si="6"/>
        <v>0.11764705882352941</v>
      </c>
    </row>
    <row r="56" spans="1:4" x14ac:dyDescent="0.2">
      <c r="A56" s="46" t="s">
        <v>21</v>
      </c>
      <c r="B56" s="46" t="s">
        <v>83</v>
      </c>
      <c r="C56" s="47">
        <v>3</v>
      </c>
      <c r="D56" s="6">
        <f t="shared" si="6"/>
        <v>0.17647058823529413</v>
      </c>
    </row>
    <row r="57" spans="1:4" x14ac:dyDescent="0.2">
      <c r="A57" s="46" t="s">
        <v>21</v>
      </c>
      <c r="B57" s="46" t="s">
        <v>85</v>
      </c>
      <c r="C57" s="47">
        <v>3</v>
      </c>
      <c r="D57" s="6">
        <f t="shared" si="6"/>
        <v>0.17647058823529413</v>
      </c>
    </row>
    <row r="58" spans="1:4" x14ac:dyDescent="0.2">
      <c r="C58" s="90">
        <f>SUM(C53:C57)</f>
        <v>17</v>
      </c>
      <c r="D58" s="92">
        <f>SUM(D53:D57)</f>
        <v>1</v>
      </c>
    </row>
    <row r="60" spans="1:4" x14ac:dyDescent="0.2">
      <c r="B60" s="24" t="s">
        <v>63</v>
      </c>
    </row>
    <row r="61" spans="1:4" x14ac:dyDescent="0.2">
      <c r="A61" s="96" t="s">
        <v>11</v>
      </c>
      <c r="B61" s="96" t="s">
        <v>87</v>
      </c>
      <c r="C61" s="96" t="s">
        <v>37</v>
      </c>
      <c r="D61" s="94" t="s">
        <v>16</v>
      </c>
    </row>
    <row r="62" spans="1:4" x14ac:dyDescent="0.2">
      <c r="A62" s="49" t="s">
        <v>21</v>
      </c>
      <c r="B62" s="49" t="s">
        <v>89</v>
      </c>
      <c r="C62" s="50">
        <v>1</v>
      </c>
      <c r="D62" s="6">
        <f>C62/6</f>
        <v>0.16666666666666666</v>
      </c>
    </row>
    <row r="63" spans="1:4" x14ac:dyDescent="0.2">
      <c r="A63" s="49" t="s">
        <v>21</v>
      </c>
      <c r="B63" s="49" t="s">
        <v>91</v>
      </c>
      <c r="C63" s="50">
        <v>3</v>
      </c>
      <c r="D63" s="6">
        <f t="shared" ref="D63:D65" si="7">C63/6</f>
        <v>0.5</v>
      </c>
    </row>
    <row r="64" spans="1:4" x14ac:dyDescent="0.2">
      <c r="A64" s="49" t="s">
        <v>21</v>
      </c>
      <c r="B64" s="49" t="s">
        <v>93</v>
      </c>
      <c r="C64" s="50">
        <v>1</v>
      </c>
      <c r="D64" s="6">
        <f t="shared" si="7"/>
        <v>0.16666666666666666</v>
      </c>
    </row>
    <row r="65" spans="1:5" x14ac:dyDescent="0.2">
      <c r="A65" s="49" t="s">
        <v>21</v>
      </c>
      <c r="B65" s="49" t="s">
        <v>95</v>
      </c>
      <c r="C65" s="50">
        <v>1</v>
      </c>
      <c r="D65" s="6">
        <f t="shared" si="7"/>
        <v>0.16666666666666666</v>
      </c>
    </row>
    <row r="66" spans="1:5" x14ac:dyDescent="0.2">
      <c r="C66" s="90">
        <f>SUM(C62:C65)</f>
        <v>6</v>
      </c>
      <c r="D66" s="92">
        <f>SUM(D62:D65)</f>
        <v>0.99999999999999989</v>
      </c>
    </row>
    <row r="68" spans="1:5" x14ac:dyDescent="0.2">
      <c r="B68" s="24" t="s">
        <v>63</v>
      </c>
    </row>
    <row r="69" spans="1:5" x14ac:dyDescent="0.2">
      <c r="A69" s="97" t="s">
        <v>11</v>
      </c>
      <c r="B69" s="97" t="s">
        <v>188</v>
      </c>
      <c r="C69" s="97" t="s">
        <v>37</v>
      </c>
      <c r="D69" s="94" t="s">
        <v>16</v>
      </c>
    </row>
    <row r="70" spans="1:5" ht="24" x14ac:dyDescent="0.2">
      <c r="A70" s="52" t="s">
        <v>21</v>
      </c>
      <c r="B70" s="52" t="s">
        <v>98</v>
      </c>
      <c r="C70" s="53">
        <v>6</v>
      </c>
      <c r="D70" s="6">
        <f>C70/12</f>
        <v>0.5</v>
      </c>
    </row>
    <row r="71" spans="1:5" x14ac:dyDescent="0.2">
      <c r="A71" s="52" t="s">
        <v>21</v>
      </c>
      <c r="B71" s="52" t="s">
        <v>99</v>
      </c>
      <c r="C71" s="53">
        <v>1</v>
      </c>
      <c r="D71" s="6">
        <f t="shared" ref="D71:D75" si="8">C71/12</f>
        <v>8.3333333333333329E-2</v>
      </c>
    </row>
    <row r="72" spans="1:5" x14ac:dyDescent="0.2">
      <c r="A72" s="52" t="s">
        <v>21</v>
      </c>
      <c r="B72" s="52" t="s">
        <v>100</v>
      </c>
      <c r="C72" s="53">
        <v>1</v>
      </c>
      <c r="D72" s="6">
        <f t="shared" si="8"/>
        <v>8.3333333333333329E-2</v>
      </c>
    </row>
    <row r="73" spans="1:5" x14ac:dyDescent="0.2">
      <c r="A73" s="52" t="s">
        <v>21</v>
      </c>
      <c r="B73" s="52" t="s">
        <v>102</v>
      </c>
      <c r="C73" s="53">
        <v>2</v>
      </c>
      <c r="D73" s="6">
        <f t="shared" si="8"/>
        <v>0.16666666666666666</v>
      </c>
    </row>
    <row r="74" spans="1:5" x14ac:dyDescent="0.2">
      <c r="A74" s="52" t="s">
        <v>21</v>
      </c>
      <c r="B74" s="52" t="s">
        <v>103</v>
      </c>
      <c r="C74" s="53">
        <v>1</v>
      </c>
      <c r="D74" s="6">
        <f t="shared" si="8"/>
        <v>8.3333333333333329E-2</v>
      </c>
    </row>
    <row r="75" spans="1:5" x14ac:dyDescent="0.2">
      <c r="A75" s="52" t="s">
        <v>21</v>
      </c>
      <c r="B75" s="52" t="s">
        <v>104</v>
      </c>
      <c r="C75" s="53">
        <v>1</v>
      </c>
      <c r="D75" s="6">
        <f t="shared" si="8"/>
        <v>8.3333333333333329E-2</v>
      </c>
    </row>
    <row r="76" spans="1:5" x14ac:dyDescent="0.2">
      <c r="C76" s="90">
        <f>SUM(C70:C75)</f>
        <v>12</v>
      </c>
      <c r="D76" s="92">
        <f>SUM(D70:D75)</f>
        <v>1</v>
      </c>
    </row>
    <row r="78" spans="1:5" ht="36" x14ac:dyDescent="0.2">
      <c r="A78" s="54" t="s">
        <v>11</v>
      </c>
      <c r="B78" s="54" t="s">
        <v>202</v>
      </c>
      <c r="C78" s="5" t="s">
        <v>203</v>
      </c>
      <c r="D78" s="94" t="s">
        <v>3</v>
      </c>
      <c r="E78" s="5" t="s">
        <v>10</v>
      </c>
    </row>
    <row r="79" spans="1:5" x14ac:dyDescent="0.2">
      <c r="A79" s="46" t="s">
        <v>21</v>
      </c>
      <c r="B79" s="47">
        <v>5</v>
      </c>
      <c r="C79" s="90">
        <v>0</v>
      </c>
      <c r="D79" s="90">
        <v>5</v>
      </c>
      <c r="E79" s="90">
        <v>0</v>
      </c>
    </row>
    <row r="82" spans="1:5" x14ac:dyDescent="0.2">
      <c r="A82" s="55" t="s">
        <v>11</v>
      </c>
      <c r="B82" s="55" t="s">
        <v>189</v>
      </c>
      <c r="C82" s="56" t="s">
        <v>37</v>
      </c>
      <c r="D82" s="5" t="s">
        <v>16</v>
      </c>
    </row>
    <row r="83" spans="1:5" x14ac:dyDescent="0.2">
      <c r="A83" s="57" t="s">
        <v>21</v>
      </c>
      <c r="B83" s="57" t="s">
        <v>60</v>
      </c>
      <c r="C83" s="58">
        <v>5</v>
      </c>
      <c r="D83" s="133">
        <f t="shared" ref="D83" si="9">C83/10</f>
        <v>0.5</v>
      </c>
    </row>
    <row r="85" spans="1:5" ht="24" x14ac:dyDescent="0.2">
      <c r="A85" s="59" t="s">
        <v>11</v>
      </c>
      <c r="B85" s="59" t="s">
        <v>190</v>
      </c>
      <c r="C85" s="59" t="s">
        <v>37</v>
      </c>
      <c r="D85" s="5" t="s">
        <v>221</v>
      </c>
      <c r="E85" s="5" t="s">
        <v>3</v>
      </c>
    </row>
    <row r="86" spans="1:5" x14ac:dyDescent="0.2">
      <c r="A86" s="60" t="s">
        <v>21</v>
      </c>
      <c r="B86" s="60" t="s">
        <v>60</v>
      </c>
      <c r="C86" s="61">
        <v>1</v>
      </c>
      <c r="D86" s="90">
        <v>0</v>
      </c>
      <c r="E86" s="90">
        <v>1</v>
      </c>
    </row>
    <row r="89" spans="1:5" x14ac:dyDescent="0.2">
      <c r="A89" s="62" t="s">
        <v>11</v>
      </c>
      <c r="B89" s="62" t="s">
        <v>191</v>
      </c>
      <c r="C89" s="62" t="s">
        <v>37</v>
      </c>
      <c r="D89" s="5" t="s">
        <v>16</v>
      </c>
    </row>
    <row r="90" spans="1:5" x14ac:dyDescent="0.2">
      <c r="A90" s="63" t="s">
        <v>21</v>
      </c>
      <c r="B90" s="63" t="s">
        <v>60</v>
      </c>
      <c r="C90" s="64">
        <v>3</v>
      </c>
      <c r="D90" s="133">
        <f t="shared" ref="D90" si="10">C90/10</f>
        <v>0.3</v>
      </c>
    </row>
    <row r="92" spans="1:5" ht="24" x14ac:dyDescent="0.2">
      <c r="A92" s="98" t="s">
        <v>11</v>
      </c>
      <c r="B92" s="98" t="s">
        <v>222</v>
      </c>
      <c r="C92" s="98" t="s">
        <v>37</v>
      </c>
      <c r="D92" s="5" t="s">
        <v>223</v>
      </c>
    </row>
    <row r="93" spans="1:5" x14ac:dyDescent="0.2">
      <c r="A93" s="99" t="s">
        <v>21</v>
      </c>
      <c r="B93" s="99" t="s">
        <v>60</v>
      </c>
      <c r="C93" s="100">
        <v>1</v>
      </c>
      <c r="D93" s="6">
        <f>C93/3</f>
        <v>0.33333333333333331</v>
      </c>
    </row>
    <row r="95" spans="1:5" x14ac:dyDescent="0.2">
      <c r="A95" s="65" t="s">
        <v>11</v>
      </c>
      <c r="B95" s="65" t="s">
        <v>192</v>
      </c>
      <c r="C95" s="65" t="s">
        <v>37</v>
      </c>
      <c r="D95" s="5" t="s">
        <v>16</v>
      </c>
    </row>
    <row r="96" spans="1:5" x14ac:dyDescent="0.2">
      <c r="A96" s="90" t="s">
        <v>21</v>
      </c>
      <c r="B96" s="90" t="s">
        <v>60</v>
      </c>
      <c r="C96" s="90">
        <v>0</v>
      </c>
      <c r="D96" s="90">
        <v>0</v>
      </c>
    </row>
    <row r="99" spans="1:6" x14ac:dyDescent="0.2">
      <c r="B99" s="104" t="s">
        <v>63</v>
      </c>
    </row>
    <row r="100" spans="1:6" x14ac:dyDescent="0.2">
      <c r="A100" s="68" t="s">
        <v>11</v>
      </c>
      <c r="B100" s="68" t="s">
        <v>193</v>
      </c>
      <c r="C100" s="68" t="s">
        <v>37</v>
      </c>
      <c r="D100" s="5" t="s">
        <v>16</v>
      </c>
    </row>
    <row r="101" spans="1:6" x14ac:dyDescent="0.2">
      <c r="A101" s="102" t="s">
        <v>21</v>
      </c>
      <c r="B101" s="102" t="s">
        <v>119</v>
      </c>
      <c r="C101" s="103">
        <v>1</v>
      </c>
      <c r="D101" s="132">
        <v>0.5</v>
      </c>
    </row>
    <row r="102" spans="1:6" x14ac:dyDescent="0.2">
      <c r="A102" s="102" t="s">
        <v>21</v>
      </c>
      <c r="B102" s="102" t="s">
        <v>122</v>
      </c>
      <c r="C102" s="103">
        <v>1</v>
      </c>
      <c r="D102" s="132">
        <v>0.5</v>
      </c>
    </row>
    <row r="103" spans="1:6" x14ac:dyDescent="0.2">
      <c r="C103" s="90">
        <f>SUM(C101:C102)</f>
        <v>2</v>
      </c>
    </row>
    <row r="105" spans="1:6" x14ac:dyDescent="0.2">
      <c r="A105" s="71" t="s">
        <v>11</v>
      </c>
      <c r="B105" s="71" t="s">
        <v>124</v>
      </c>
      <c r="C105" s="71" t="s">
        <v>175</v>
      </c>
      <c r="D105" s="71" t="s">
        <v>194</v>
      </c>
      <c r="E105" s="71" t="s">
        <v>3</v>
      </c>
      <c r="F105" s="71" t="s">
        <v>16</v>
      </c>
    </row>
    <row r="106" spans="1:6" x14ac:dyDescent="0.2">
      <c r="A106" s="76" t="s">
        <v>21</v>
      </c>
      <c r="B106" s="76" t="s">
        <v>129</v>
      </c>
      <c r="C106" s="77">
        <v>3</v>
      </c>
      <c r="D106" s="90">
        <v>2</v>
      </c>
      <c r="E106" s="90">
        <f>SUM(C106:D106)</f>
        <v>5</v>
      </c>
      <c r="F106" s="92">
        <f>E106/13</f>
        <v>0.38461538461538464</v>
      </c>
    </row>
    <row r="107" spans="1:6" x14ac:dyDescent="0.2">
      <c r="A107" s="76" t="s">
        <v>21</v>
      </c>
      <c r="B107" s="76" t="s">
        <v>130</v>
      </c>
      <c r="C107" s="77">
        <v>1</v>
      </c>
      <c r="D107" s="90">
        <v>0</v>
      </c>
      <c r="E107" s="90">
        <f>SUM(C107:D107)</f>
        <v>1</v>
      </c>
      <c r="F107" s="92">
        <f>E107/13</f>
        <v>7.6923076923076927E-2</v>
      </c>
    </row>
    <row r="108" spans="1:6" x14ac:dyDescent="0.2">
      <c r="A108" s="76" t="s">
        <v>21</v>
      </c>
      <c r="B108" s="76" t="s">
        <v>131</v>
      </c>
      <c r="C108" s="77">
        <v>4</v>
      </c>
      <c r="D108" s="90">
        <v>1</v>
      </c>
      <c r="E108" s="90">
        <f>SUM(C108:D108)</f>
        <v>5</v>
      </c>
      <c r="F108" s="92">
        <f>E108/13</f>
        <v>0.38461538461538464</v>
      </c>
    </row>
    <row r="109" spans="1:6" x14ac:dyDescent="0.2">
      <c r="A109" s="76" t="s">
        <v>21</v>
      </c>
      <c r="B109" s="76" t="s">
        <v>132</v>
      </c>
      <c r="C109" s="77">
        <v>1</v>
      </c>
      <c r="D109" s="90">
        <v>0</v>
      </c>
      <c r="E109" s="90">
        <f>SUM(C109:D109)</f>
        <v>1</v>
      </c>
      <c r="F109" s="92">
        <f>E109/13</f>
        <v>7.6923076923076927E-2</v>
      </c>
    </row>
    <row r="110" spans="1:6" x14ac:dyDescent="0.2">
      <c r="A110" s="76" t="s">
        <v>21</v>
      </c>
      <c r="B110" s="76" t="s">
        <v>133</v>
      </c>
      <c r="C110" s="77">
        <v>1</v>
      </c>
      <c r="D110" s="90">
        <v>0</v>
      </c>
      <c r="E110" s="90">
        <f>SUM(C110:D110)</f>
        <v>1</v>
      </c>
      <c r="F110" s="92">
        <f>E110/13</f>
        <v>7.6923076923076927E-2</v>
      </c>
    </row>
    <row r="111" spans="1:6" x14ac:dyDescent="0.2">
      <c r="A111" s="76"/>
      <c r="B111" s="76"/>
      <c r="C111" s="77">
        <f>SUM(C106:C110)</f>
        <v>10</v>
      </c>
      <c r="D111" s="77">
        <f>SUM(D106:D110)</f>
        <v>3</v>
      </c>
      <c r="E111" s="77">
        <f>SUM(E106:E110)</f>
        <v>13</v>
      </c>
      <c r="F111" s="92">
        <f>SUM(F106:F110)</f>
        <v>1</v>
      </c>
    </row>
    <row r="113" spans="1:6" x14ac:dyDescent="0.2">
      <c r="A113" s="78" t="s">
        <v>11</v>
      </c>
      <c r="B113" s="78" t="s">
        <v>135</v>
      </c>
      <c r="C113" s="78" t="s">
        <v>196</v>
      </c>
      <c r="D113" s="78" t="s">
        <v>197</v>
      </c>
      <c r="E113" s="78" t="s">
        <v>3</v>
      </c>
      <c r="F113" s="78" t="s">
        <v>16</v>
      </c>
    </row>
    <row r="114" spans="1:6" x14ac:dyDescent="0.2">
      <c r="A114" s="79" t="s">
        <v>21</v>
      </c>
      <c r="B114" s="79" t="s">
        <v>137</v>
      </c>
      <c r="C114" s="80">
        <v>6</v>
      </c>
      <c r="D114" s="90">
        <v>3</v>
      </c>
      <c r="E114" s="90">
        <f>SUM(C114:D114)</f>
        <v>9</v>
      </c>
      <c r="F114" s="92">
        <f t="shared" ref="F114:F115" si="11">E114/13</f>
        <v>0.69230769230769229</v>
      </c>
    </row>
    <row r="115" spans="1:6" x14ac:dyDescent="0.2">
      <c r="A115" s="79" t="s">
        <v>21</v>
      </c>
      <c r="B115" s="79" t="s">
        <v>140</v>
      </c>
      <c r="C115" s="80">
        <v>4</v>
      </c>
      <c r="D115" s="90">
        <v>0</v>
      </c>
      <c r="E115" s="90">
        <f>SUM(C115:D115)</f>
        <v>4</v>
      </c>
      <c r="F115" s="92">
        <f t="shared" si="11"/>
        <v>0.30769230769230771</v>
      </c>
    </row>
    <row r="116" spans="1:6" x14ac:dyDescent="0.2">
      <c r="C116" s="90">
        <f>SUM(C114:C115)</f>
        <v>10</v>
      </c>
      <c r="D116" s="90">
        <f>SUM(D114:D115)</f>
        <v>3</v>
      </c>
      <c r="E116" s="90">
        <f>SUM(E114:E115)</f>
        <v>13</v>
      </c>
      <c r="F116" s="92">
        <f>SUM(F114:F115)</f>
        <v>1</v>
      </c>
    </row>
    <row r="118" spans="1:6" x14ac:dyDescent="0.2">
      <c r="A118" s="78" t="s">
        <v>11</v>
      </c>
      <c r="B118" s="78" t="s">
        <v>198</v>
      </c>
      <c r="C118" s="78" t="s">
        <v>196</v>
      </c>
      <c r="D118" s="78" t="s">
        <v>197</v>
      </c>
      <c r="E118" s="78" t="s">
        <v>3</v>
      </c>
      <c r="F118" s="78" t="s">
        <v>16</v>
      </c>
    </row>
    <row r="119" spans="1:6" x14ac:dyDescent="0.2">
      <c r="A119" s="107" t="s">
        <v>21</v>
      </c>
      <c r="B119" s="107" t="s">
        <v>60</v>
      </c>
      <c r="C119" s="108">
        <v>6</v>
      </c>
      <c r="D119" s="90">
        <v>4</v>
      </c>
      <c r="E119" s="90">
        <f>SUM(C119:D119)</f>
        <v>10</v>
      </c>
      <c r="F119" s="92">
        <f t="shared" ref="F119" si="12">E119/13</f>
        <v>0.76923076923076927</v>
      </c>
    </row>
    <row r="121" spans="1:6" x14ac:dyDescent="0.2">
      <c r="A121" s="82" t="s">
        <v>11</v>
      </c>
      <c r="B121" s="82" t="s">
        <v>199</v>
      </c>
      <c r="C121" s="82" t="s">
        <v>200</v>
      </c>
      <c r="D121" s="5" t="s">
        <v>125</v>
      </c>
      <c r="E121" s="82" t="s">
        <v>3</v>
      </c>
      <c r="F121" s="82" t="s">
        <v>16</v>
      </c>
    </row>
    <row r="122" spans="1:6" x14ac:dyDescent="0.2">
      <c r="A122" s="83" t="s">
        <v>21</v>
      </c>
      <c r="B122" s="83" t="s">
        <v>145</v>
      </c>
      <c r="C122" s="84">
        <v>9</v>
      </c>
      <c r="D122" s="84">
        <v>1</v>
      </c>
      <c r="E122" s="84">
        <f>SUM(C122:D122)</f>
        <v>10</v>
      </c>
      <c r="F122" s="92">
        <f t="shared" ref="F122:F123" si="13">E122/13</f>
        <v>0.76923076923076927</v>
      </c>
    </row>
    <row r="123" spans="1:6" x14ac:dyDescent="0.2">
      <c r="A123" s="83" t="s">
        <v>21</v>
      </c>
      <c r="B123" s="83" t="s">
        <v>146</v>
      </c>
      <c r="C123" s="84">
        <v>1</v>
      </c>
      <c r="D123" s="84">
        <v>2</v>
      </c>
      <c r="E123" s="84">
        <f>SUM(C123:D123)</f>
        <v>3</v>
      </c>
      <c r="F123" s="92">
        <f t="shared" si="13"/>
        <v>0.23076923076923078</v>
      </c>
    </row>
    <row r="124" spans="1:6" x14ac:dyDescent="0.2">
      <c r="C124" s="90">
        <f>SUM(C122:C123)</f>
        <v>10</v>
      </c>
      <c r="D124" s="90">
        <f>SUM(D122:D123)</f>
        <v>3</v>
      </c>
      <c r="E124" s="90">
        <f>SUM(E122:E123)</f>
        <v>13</v>
      </c>
      <c r="F124" s="92">
        <f>SUM(F122:F123)</f>
        <v>1</v>
      </c>
    </row>
    <row r="126" spans="1:6" ht="24" x14ac:dyDescent="0.2">
      <c r="B126" s="3" t="s">
        <v>204</v>
      </c>
    </row>
    <row r="127" spans="1:6" ht="24" x14ac:dyDescent="0.2">
      <c r="A127" s="85" t="s">
        <v>11</v>
      </c>
      <c r="B127" s="85" t="s">
        <v>205</v>
      </c>
      <c r="C127" s="85" t="s">
        <v>206</v>
      </c>
      <c r="D127" s="85" t="s">
        <v>207</v>
      </c>
      <c r="E127" s="5" t="s">
        <v>16</v>
      </c>
      <c r="F127" s="85" t="s">
        <v>208</v>
      </c>
    </row>
    <row r="128" spans="1:6" x14ac:dyDescent="0.2">
      <c r="A128" s="86" t="s">
        <v>21</v>
      </c>
      <c r="B128" s="86" t="s">
        <v>226</v>
      </c>
      <c r="C128" s="87">
        <v>2</v>
      </c>
      <c r="D128" s="87">
        <v>26</v>
      </c>
      <c r="E128" s="92">
        <f>D128/31</f>
        <v>0.83870967741935487</v>
      </c>
      <c r="F128" s="87">
        <v>45</v>
      </c>
    </row>
    <row r="129" spans="1:6" x14ac:dyDescent="0.2">
      <c r="A129" s="86" t="s">
        <v>21</v>
      </c>
      <c r="B129" s="86" t="s">
        <v>209</v>
      </c>
      <c r="C129" s="87">
        <v>1</v>
      </c>
      <c r="D129" s="87">
        <v>5</v>
      </c>
      <c r="E129" s="92">
        <f>D129/31</f>
        <v>0.16129032258064516</v>
      </c>
      <c r="F129" s="87">
        <v>5</v>
      </c>
    </row>
    <row r="130" spans="1:6" x14ac:dyDescent="0.2">
      <c r="C130" s="90">
        <f>SUM(C128:C129)</f>
        <v>3</v>
      </c>
      <c r="D130" s="90">
        <f>SUM(D128:D129)</f>
        <v>31</v>
      </c>
      <c r="E130" s="92">
        <f>SUM(E128:E129)</f>
        <v>1</v>
      </c>
      <c r="F130" s="90">
        <f>SUM(F128:F129)</f>
        <v>50</v>
      </c>
    </row>
    <row r="131" spans="1:6" x14ac:dyDescent="0.2">
      <c r="F131" s="92">
        <f>D130/50</f>
        <v>0.62</v>
      </c>
    </row>
  </sheetData>
  <printOptions horizontalCentered="1"/>
  <pageMargins left="0.7" right="0.7" top="0.75" bottom="0.75" header="0.3" footer="0.3"/>
  <pageSetup orientation="portrait" horizontalDpi="4294967293" verticalDpi="4294967293" r:id="rId1"/>
  <headerFooter>
    <oddHeader>&amp;L&amp;"-,Bold"&amp;8Graham County&amp;C&amp;"-,Bold"&amp;8AZ Balance of State
Continuum of Care
2018 Point In Time Data Report &amp;R&amp;"-,Bold"&amp;8&amp;P of &amp;N
&amp;D</oddHeader>
  </headerFooter>
  <rowBreaks count="2" manualBreakCount="2">
    <brk id="50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zoomScale="130" zoomScaleNormal="130" workbookViewId="0">
      <selection activeCell="E10" sqref="E10"/>
    </sheetView>
  </sheetViews>
  <sheetFormatPr defaultColWidth="8.85546875" defaultRowHeight="12" x14ac:dyDescent="0.2"/>
  <cols>
    <col min="1" max="1" width="8.85546875" style="90"/>
    <col min="2" max="2" width="16.7109375" style="90" customWidth="1"/>
    <col min="3" max="3" width="14.42578125" style="90" customWidth="1"/>
    <col min="4" max="16384" width="8.85546875" style="90"/>
  </cols>
  <sheetData>
    <row r="1" spans="1:4" x14ac:dyDescent="0.2">
      <c r="A1" s="88" t="s">
        <v>11</v>
      </c>
      <c r="B1" s="88" t="s">
        <v>175</v>
      </c>
      <c r="C1" s="91" t="s">
        <v>228</v>
      </c>
      <c r="D1" s="94" t="s">
        <v>3</v>
      </c>
    </row>
    <row r="2" spans="1:4" x14ac:dyDescent="0.2">
      <c r="A2" s="36" t="s">
        <v>22</v>
      </c>
      <c r="B2" s="37">
        <v>1</v>
      </c>
      <c r="C2" s="90">
        <v>1</v>
      </c>
      <c r="D2" s="90">
        <v>2</v>
      </c>
    </row>
    <row r="4" spans="1:4" x14ac:dyDescent="0.2">
      <c r="A4" s="88" t="s">
        <v>11</v>
      </c>
      <c r="B4" s="88" t="s">
        <v>30</v>
      </c>
      <c r="C4" s="88" t="s">
        <v>232</v>
      </c>
      <c r="D4" s="91" t="s">
        <v>16</v>
      </c>
    </row>
    <row r="5" spans="1:4" x14ac:dyDescent="0.2">
      <c r="A5" s="36" t="s">
        <v>22</v>
      </c>
      <c r="B5" s="36" t="s">
        <v>262</v>
      </c>
      <c r="C5" s="37">
        <v>1</v>
      </c>
      <c r="D5" s="132">
        <v>1</v>
      </c>
    </row>
    <row r="7" spans="1:4" x14ac:dyDescent="0.2">
      <c r="A7" s="38" t="s">
        <v>11</v>
      </c>
      <c r="B7" s="38" t="s">
        <v>36</v>
      </c>
      <c r="C7" s="38" t="s">
        <v>250</v>
      </c>
      <c r="D7" s="39" t="s">
        <v>16</v>
      </c>
    </row>
    <row r="8" spans="1:4" ht="24" x14ac:dyDescent="0.2">
      <c r="A8" s="40" t="s">
        <v>22</v>
      </c>
      <c r="B8" s="40" t="s">
        <v>41</v>
      </c>
      <c r="C8" s="41">
        <v>1</v>
      </c>
      <c r="D8" s="132">
        <v>1</v>
      </c>
    </row>
    <row r="10" spans="1:4" x14ac:dyDescent="0.2">
      <c r="A10" s="93" t="s">
        <v>11</v>
      </c>
      <c r="B10" s="93" t="s">
        <v>44</v>
      </c>
      <c r="C10" s="93" t="s">
        <v>37</v>
      </c>
      <c r="D10" s="94" t="s">
        <v>16</v>
      </c>
    </row>
    <row r="11" spans="1:4" x14ac:dyDescent="0.2">
      <c r="A11" s="43" t="s">
        <v>22</v>
      </c>
      <c r="B11" s="43" t="s">
        <v>47</v>
      </c>
      <c r="C11" s="44">
        <v>1</v>
      </c>
      <c r="D11" s="132">
        <v>1</v>
      </c>
    </row>
    <row r="13" spans="1:4" ht="24" x14ac:dyDescent="0.2">
      <c r="A13" s="45" t="s">
        <v>11</v>
      </c>
      <c r="B13" s="45" t="s">
        <v>176</v>
      </c>
      <c r="C13" s="45" t="s">
        <v>37</v>
      </c>
      <c r="D13" s="5" t="s">
        <v>16</v>
      </c>
    </row>
    <row r="14" spans="1:4" x14ac:dyDescent="0.2">
      <c r="A14" s="46" t="s">
        <v>22</v>
      </c>
      <c r="B14" s="46" t="s">
        <v>56</v>
      </c>
      <c r="C14" s="47">
        <v>1</v>
      </c>
      <c r="D14" s="132">
        <v>1</v>
      </c>
    </row>
    <row r="16" spans="1:4" ht="24" x14ac:dyDescent="0.2">
      <c r="A16" s="48" t="s">
        <v>11</v>
      </c>
      <c r="B16" s="48" t="s">
        <v>177</v>
      </c>
      <c r="C16" s="48" t="s">
        <v>37</v>
      </c>
      <c r="D16" s="5" t="s">
        <v>16</v>
      </c>
    </row>
    <row r="17" spans="1:4" x14ac:dyDescent="0.2">
      <c r="A17" s="49" t="s">
        <v>22</v>
      </c>
      <c r="B17" s="49" t="s">
        <v>215</v>
      </c>
      <c r="C17" s="50">
        <v>1</v>
      </c>
      <c r="D17" s="132">
        <v>1</v>
      </c>
    </row>
    <row r="19" spans="1:4" x14ac:dyDescent="0.2">
      <c r="A19" s="34" t="s">
        <v>11</v>
      </c>
      <c r="B19" s="34" t="s">
        <v>183</v>
      </c>
      <c r="C19" s="34" t="s">
        <v>37</v>
      </c>
      <c r="D19" s="5" t="s">
        <v>16</v>
      </c>
    </row>
    <row r="20" spans="1:4" x14ac:dyDescent="0.2">
      <c r="A20" s="36" t="s">
        <v>22</v>
      </c>
      <c r="B20" s="36" t="s">
        <v>60</v>
      </c>
      <c r="C20" s="37">
        <v>1</v>
      </c>
      <c r="D20" s="132">
        <v>1</v>
      </c>
    </row>
    <row r="22" spans="1:4" x14ac:dyDescent="0.2">
      <c r="A22" s="42" t="s">
        <v>11</v>
      </c>
      <c r="B22" s="42" t="s">
        <v>64</v>
      </c>
      <c r="C22" s="42" t="s">
        <v>186</v>
      </c>
      <c r="D22" s="5" t="s">
        <v>16</v>
      </c>
    </row>
    <row r="23" spans="1:4" x14ac:dyDescent="0.2">
      <c r="A23" s="43" t="s">
        <v>22</v>
      </c>
      <c r="B23" s="43" t="s">
        <v>68</v>
      </c>
      <c r="C23" s="44">
        <v>1</v>
      </c>
      <c r="D23" s="132">
        <v>1</v>
      </c>
    </row>
    <row r="25" spans="1:4" x14ac:dyDescent="0.2">
      <c r="B25" s="24" t="s">
        <v>63</v>
      </c>
    </row>
    <row r="26" spans="1:4" x14ac:dyDescent="0.2">
      <c r="A26" s="95" t="s">
        <v>11</v>
      </c>
      <c r="B26" s="95" t="s">
        <v>187</v>
      </c>
      <c r="C26" s="95" t="s">
        <v>37</v>
      </c>
      <c r="D26" s="94" t="s">
        <v>16</v>
      </c>
    </row>
    <row r="27" spans="1:4" x14ac:dyDescent="0.2">
      <c r="A27" s="46" t="s">
        <v>22</v>
      </c>
      <c r="B27" s="46" t="s">
        <v>82</v>
      </c>
      <c r="C27" s="47">
        <v>1</v>
      </c>
      <c r="D27" s="132">
        <v>0.5</v>
      </c>
    </row>
    <row r="28" spans="1:4" ht="24" x14ac:dyDescent="0.2">
      <c r="A28" s="46" t="s">
        <v>22</v>
      </c>
      <c r="B28" s="46" t="s">
        <v>83</v>
      </c>
      <c r="C28" s="47">
        <v>1</v>
      </c>
      <c r="D28" s="132">
        <v>0.5</v>
      </c>
    </row>
    <row r="30" spans="1:4" x14ac:dyDescent="0.2">
      <c r="A30" s="96" t="s">
        <v>11</v>
      </c>
      <c r="B30" s="96" t="s">
        <v>87</v>
      </c>
      <c r="C30" s="96" t="s">
        <v>37</v>
      </c>
      <c r="D30" s="94" t="s">
        <v>16</v>
      </c>
    </row>
    <row r="31" spans="1:4" x14ac:dyDescent="0.2">
      <c r="A31" s="90" t="s">
        <v>22</v>
      </c>
      <c r="C31" s="90">
        <v>0</v>
      </c>
      <c r="D31" s="90">
        <v>0</v>
      </c>
    </row>
    <row r="34" spans="1:5" x14ac:dyDescent="0.2">
      <c r="B34" s="24" t="s">
        <v>63</v>
      </c>
    </row>
    <row r="35" spans="1:5" x14ac:dyDescent="0.2">
      <c r="A35" s="97" t="s">
        <v>11</v>
      </c>
      <c r="B35" s="97" t="s">
        <v>188</v>
      </c>
      <c r="C35" s="97" t="s">
        <v>37</v>
      </c>
      <c r="D35" s="94" t="s">
        <v>16</v>
      </c>
    </row>
    <row r="36" spans="1:5" ht="24" x14ac:dyDescent="0.2">
      <c r="A36" s="52" t="s">
        <v>22</v>
      </c>
      <c r="B36" s="52" t="s">
        <v>102</v>
      </c>
      <c r="C36" s="53">
        <v>1</v>
      </c>
      <c r="D36" s="132">
        <v>0.5</v>
      </c>
    </row>
    <row r="37" spans="1:5" ht="24" x14ac:dyDescent="0.2">
      <c r="A37" s="52" t="s">
        <v>22</v>
      </c>
      <c r="B37" s="52" t="s">
        <v>103</v>
      </c>
      <c r="C37" s="53">
        <v>1</v>
      </c>
      <c r="D37" s="132">
        <v>0.5</v>
      </c>
    </row>
    <row r="39" spans="1:5" ht="36" x14ac:dyDescent="0.2">
      <c r="A39" s="54" t="s">
        <v>11</v>
      </c>
      <c r="B39" s="54" t="s">
        <v>202</v>
      </c>
      <c r="C39" s="5" t="s">
        <v>203</v>
      </c>
      <c r="D39" s="94" t="s">
        <v>3</v>
      </c>
      <c r="E39" s="5" t="s">
        <v>10</v>
      </c>
    </row>
    <row r="40" spans="1:5" x14ac:dyDescent="0.2">
      <c r="A40" s="46" t="s">
        <v>22</v>
      </c>
      <c r="B40" s="47">
        <v>1</v>
      </c>
      <c r="C40" s="90">
        <v>1</v>
      </c>
      <c r="D40" s="90">
        <v>2</v>
      </c>
      <c r="E40" s="90">
        <v>1</v>
      </c>
    </row>
    <row r="43" spans="1:5" ht="24" x14ac:dyDescent="0.2">
      <c r="A43" s="55" t="s">
        <v>11</v>
      </c>
      <c r="B43" s="55" t="s">
        <v>189</v>
      </c>
      <c r="C43" s="56" t="s">
        <v>37</v>
      </c>
      <c r="D43" s="5" t="s">
        <v>16</v>
      </c>
    </row>
    <row r="44" spans="1:5" x14ac:dyDescent="0.2">
      <c r="A44" s="90" t="s">
        <v>22</v>
      </c>
      <c r="B44" s="90" t="s">
        <v>60</v>
      </c>
      <c r="C44" s="90">
        <v>0</v>
      </c>
      <c r="D44" s="90">
        <v>0</v>
      </c>
    </row>
    <row r="47" spans="1:5" ht="36" x14ac:dyDescent="0.2">
      <c r="A47" s="59" t="s">
        <v>11</v>
      </c>
      <c r="B47" s="59" t="s">
        <v>190</v>
      </c>
      <c r="C47" s="59" t="s">
        <v>37</v>
      </c>
      <c r="D47" s="5" t="s">
        <v>221</v>
      </c>
      <c r="E47" s="5" t="s">
        <v>3</v>
      </c>
    </row>
    <row r="48" spans="1:5" x14ac:dyDescent="0.2">
      <c r="A48" s="90" t="s">
        <v>22</v>
      </c>
      <c r="B48" s="90" t="s">
        <v>60</v>
      </c>
      <c r="C48" s="90">
        <v>0</v>
      </c>
      <c r="D48" s="90">
        <v>0</v>
      </c>
      <c r="E48" s="90">
        <v>0</v>
      </c>
    </row>
    <row r="50" spans="1:6" ht="24" x14ac:dyDescent="0.2">
      <c r="A50" s="62" t="s">
        <v>11</v>
      </c>
      <c r="B50" s="62" t="s">
        <v>191</v>
      </c>
      <c r="C50" s="62" t="s">
        <v>37</v>
      </c>
      <c r="D50" s="5" t="s">
        <v>16</v>
      </c>
    </row>
    <row r="51" spans="1:6" x14ac:dyDescent="0.2">
      <c r="A51" s="90" t="s">
        <v>22</v>
      </c>
      <c r="B51" s="90" t="s">
        <v>60</v>
      </c>
      <c r="C51" s="90">
        <v>0</v>
      </c>
      <c r="D51" s="90">
        <v>0</v>
      </c>
    </row>
    <row r="53" spans="1:6" x14ac:dyDescent="0.2">
      <c r="A53" s="65" t="s">
        <v>11</v>
      </c>
      <c r="B53" s="65" t="s">
        <v>192</v>
      </c>
      <c r="C53" s="65" t="s">
        <v>37</v>
      </c>
      <c r="D53" s="5" t="s">
        <v>16</v>
      </c>
    </row>
    <row r="54" spans="1:6" x14ac:dyDescent="0.2">
      <c r="A54" s="66" t="s">
        <v>22</v>
      </c>
      <c r="B54" s="66" t="s">
        <v>60</v>
      </c>
      <c r="C54" s="67">
        <v>1</v>
      </c>
      <c r="D54" s="134">
        <v>1</v>
      </c>
    </row>
    <row r="56" spans="1:6" ht="24" x14ac:dyDescent="0.2">
      <c r="A56" s="65" t="s">
        <v>11</v>
      </c>
      <c r="B56" s="65" t="s">
        <v>224</v>
      </c>
      <c r="C56" s="65" t="s">
        <v>37</v>
      </c>
      <c r="D56" s="5" t="s">
        <v>225</v>
      </c>
    </row>
    <row r="57" spans="1:6" x14ac:dyDescent="0.2">
      <c r="A57" s="66" t="s">
        <v>22</v>
      </c>
      <c r="B57" s="66" t="s">
        <v>115</v>
      </c>
      <c r="C57" s="67">
        <v>1</v>
      </c>
      <c r="D57" s="134">
        <v>1</v>
      </c>
    </row>
    <row r="59" spans="1:6" x14ac:dyDescent="0.2">
      <c r="B59" s="104" t="s">
        <v>63</v>
      </c>
    </row>
    <row r="60" spans="1:6" x14ac:dyDescent="0.2">
      <c r="A60" s="68" t="s">
        <v>11</v>
      </c>
      <c r="B60" s="68" t="s">
        <v>193</v>
      </c>
      <c r="C60" s="68" t="s">
        <v>37</v>
      </c>
      <c r="D60" s="5" t="s">
        <v>16</v>
      </c>
    </row>
    <row r="61" spans="1:6" x14ac:dyDescent="0.2">
      <c r="A61" s="102" t="s">
        <v>22</v>
      </c>
      <c r="B61" s="102" t="s">
        <v>117</v>
      </c>
      <c r="C61" s="103">
        <v>1</v>
      </c>
      <c r="D61" s="132">
        <v>0.5</v>
      </c>
    </row>
    <row r="62" spans="1:6" x14ac:dyDescent="0.2">
      <c r="A62" s="102" t="s">
        <v>22</v>
      </c>
      <c r="B62" s="102" t="s">
        <v>120</v>
      </c>
      <c r="C62" s="103">
        <v>1</v>
      </c>
      <c r="D62" s="132">
        <v>0.5</v>
      </c>
    </row>
    <row r="64" spans="1:6" ht="24" x14ac:dyDescent="0.2">
      <c r="A64" s="71" t="s">
        <v>11</v>
      </c>
      <c r="B64" s="71" t="s">
        <v>124</v>
      </c>
      <c r="C64" s="71" t="s">
        <v>175</v>
      </c>
      <c r="D64" s="71" t="s">
        <v>194</v>
      </c>
      <c r="E64" s="71" t="s">
        <v>3</v>
      </c>
      <c r="F64" s="71" t="s">
        <v>16</v>
      </c>
    </row>
    <row r="65" spans="1:6" x14ac:dyDescent="0.2">
      <c r="A65" s="76" t="s">
        <v>22</v>
      </c>
      <c r="B65" s="76" t="s">
        <v>130</v>
      </c>
      <c r="C65" s="77">
        <v>1</v>
      </c>
      <c r="D65" s="90">
        <v>1</v>
      </c>
      <c r="E65" s="90">
        <v>2</v>
      </c>
      <c r="F65" s="132">
        <v>1</v>
      </c>
    </row>
    <row r="67" spans="1:6" ht="24" x14ac:dyDescent="0.2">
      <c r="A67" s="78" t="s">
        <v>11</v>
      </c>
      <c r="B67" s="78" t="s">
        <v>135</v>
      </c>
      <c r="C67" s="78" t="s">
        <v>196</v>
      </c>
      <c r="D67" s="78" t="s">
        <v>197</v>
      </c>
      <c r="E67" s="78" t="s">
        <v>3</v>
      </c>
      <c r="F67" s="78" t="s">
        <v>16</v>
      </c>
    </row>
    <row r="68" spans="1:6" x14ac:dyDescent="0.2">
      <c r="A68" s="79" t="s">
        <v>22</v>
      </c>
      <c r="B68" s="79" t="s">
        <v>142</v>
      </c>
      <c r="C68" s="80">
        <v>1</v>
      </c>
      <c r="E68" s="90">
        <v>1</v>
      </c>
      <c r="F68" s="132">
        <v>0.5</v>
      </c>
    </row>
    <row r="69" spans="1:6" x14ac:dyDescent="0.2">
      <c r="A69" s="90" t="s">
        <v>22</v>
      </c>
      <c r="B69" s="90" t="s">
        <v>263</v>
      </c>
      <c r="D69" s="90">
        <v>1</v>
      </c>
      <c r="E69" s="90">
        <v>1</v>
      </c>
      <c r="F69" s="132">
        <v>0.5</v>
      </c>
    </row>
    <row r="72" spans="1:6" ht="24" x14ac:dyDescent="0.2">
      <c r="A72" s="78" t="s">
        <v>11</v>
      </c>
      <c r="B72" s="78" t="s">
        <v>198</v>
      </c>
      <c r="C72" s="78" t="s">
        <v>196</v>
      </c>
      <c r="D72" s="78" t="s">
        <v>197</v>
      </c>
      <c r="E72" s="78" t="s">
        <v>3</v>
      </c>
      <c r="F72" s="78" t="s">
        <v>16</v>
      </c>
    </row>
    <row r="73" spans="1:6" x14ac:dyDescent="0.2">
      <c r="A73" s="90" t="s">
        <v>22</v>
      </c>
      <c r="B73" s="90" t="s">
        <v>60</v>
      </c>
      <c r="C73" s="90">
        <v>0</v>
      </c>
      <c r="D73" s="90">
        <v>0</v>
      </c>
      <c r="E73" s="90">
        <v>0</v>
      </c>
      <c r="F73" s="90">
        <v>0</v>
      </c>
    </row>
    <row r="75" spans="1:6" ht="24" x14ac:dyDescent="0.2">
      <c r="A75" s="82" t="s">
        <v>11</v>
      </c>
      <c r="B75" s="82" t="s">
        <v>199</v>
      </c>
      <c r="C75" s="82" t="s">
        <v>200</v>
      </c>
      <c r="D75" s="5" t="s">
        <v>125</v>
      </c>
      <c r="E75" s="82" t="s">
        <v>3</v>
      </c>
      <c r="F75" s="82" t="s">
        <v>16</v>
      </c>
    </row>
    <row r="76" spans="1:6" x14ac:dyDescent="0.2">
      <c r="A76" s="83" t="s">
        <v>22</v>
      </c>
      <c r="B76" s="83" t="s">
        <v>145</v>
      </c>
      <c r="C76" s="84">
        <v>1</v>
      </c>
      <c r="D76" s="84"/>
      <c r="E76" s="84">
        <v>1</v>
      </c>
      <c r="F76" s="132">
        <v>0.5</v>
      </c>
    </row>
    <row r="77" spans="1:6" x14ac:dyDescent="0.2">
      <c r="A77" s="90" t="s">
        <v>22</v>
      </c>
      <c r="B77" s="90" t="s">
        <v>146</v>
      </c>
      <c r="D77" s="90">
        <v>1</v>
      </c>
      <c r="E77" s="90">
        <v>1</v>
      </c>
      <c r="F77" s="132">
        <v>0.5</v>
      </c>
    </row>
    <row r="80" spans="1:6" ht="36" x14ac:dyDescent="0.2">
      <c r="A80" s="12"/>
      <c r="B80" s="3" t="s">
        <v>204</v>
      </c>
      <c r="C80" s="12"/>
      <c r="D80" s="12"/>
      <c r="E80" s="12"/>
      <c r="F80" s="12"/>
    </row>
    <row r="81" spans="1:6" ht="36" x14ac:dyDescent="0.2">
      <c r="A81" s="85" t="s">
        <v>11</v>
      </c>
      <c r="B81" s="85" t="s">
        <v>205</v>
      </c>
      <c r="C81" s="85" t="s">
        <v>206</v>
      </c>
      <c r="D81" s="85" t="s">
        <v>207</v>
      </c>
      <c r="E81" s="5" t="s">
        <v>16</v>
      </c>
      <c r="F81" s="85" t="s">
        <v>208</v>
      </c>
    </row>
    <row r="82" spans="1:6" x14ac:dyDescent="0.2">
      <c r="A82" s="90" t="s">
        <v>22</v>
      </c>
      <c r="C82" s="90">
        <v>0</v>
      </c>
      <c r="D82" s="90">
        <v>0</v>
      </c>
      <c r="E82" s="90">
        <v>0</v>
      </c>
      <c r="F82" s="90">
        <v>0</v>
      </c>
    </row>
  </sheetData>
  <printOptions horizontalCentered="1"/>
  <pageMargins left="0.7" right="0.7" top="0.75" bottom="0.75" header="0.3" footer="0.3"/>
  <pageSetup orientation="portrait" horizontalDpi="4294967293" verticalDpi="4294967293" r:id="rId1"/>
  <headerFooter>
    <oddHeader>&amp;L&amp;"-,Bold"&amp;8Greenlee County&amp;C&amp;"-,Bold"&amp;8AZ Balance of State
Continuum of Care
2018 Point In Time Data Report &amp;R&amp;"-,Bold"&amp;8&amp;P of &amp;N
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130" zoomScaleNormal="130" zoomScaleSheetLayoutView="80" workbookViewId="0">
      <selection activeCell="E18" sqref="E18"/>
    </sheetView>
  </sheetViews>
  <sheetFormatPr defaultColWidth="8.85546875" defaultRowHeight="12" x14ac:dyDescent="0.2"/>
  <cols>
    <col min="1" max="1" width="8.85546875" style="136"/>
    <col min="2" max="2" width="22.28515625" style="136" customWidth="1"/>
    <col min="3" max="3" width="14.140625" style="136" customWidth="1"/>
    <col min="4" max="16384" width="8.85546875" style="136"/>
  </cols>
  <sheetData>
    <row r="1" spans="1:4" x14ac:dyDescent="0.2">
      <c r="A1" s="88" t="s">
        <v>11</v>
      </c>
      <c r="B1" s="88" t="s">
        <v>175</v>
      </c>
      <c r="C1" s="135" t="s">
        <v>228</v>
      </c>
      <c r="D1" s="39" t="s">
        <v>3</v>
      </c>
    </row>
    <row r="2" spans="1:4" x14ac:dyDescent="0.2">
      <c r="A2" s="36" t="s">
        <v>23</v>
      </c>
      <c r="B2" s="37">
        <v>82</v>
      </c>
      <c r="C2" s="136">
        <v>12</v>
      </c>
      <c r="D2" s="136">
        <f>SUM(B2:C2)</f>
        <v>94</v>
      </c>
    </row>
    <row r="5" spans="1:4" x14ac:dyDescent="0.2">
      <c r="A5" s="88" t="s">
        <v>11</v>
      </c>
      <c r="B5" s="88" t="s">
        <v>30</v>
      </c>
      <c r="C5" s="88" t="s">
        <v>232</v>
      </c>
      <c r="D5" s="135" t="s">
        <v>16</v>
      </c>
    </row>
    <row r="6" spans="1:4" x14ac:dyDescent="0.2">
      <c r="A6" s="36" t="s">
        <v>23</v>
      </c>
      <c r="B6" s="36" t="s">
        <v>264</v>
      </c>
      <c r="C6" s="37">
        <v>1</v>
      </c>
      <c r="D6" s="133">
        <f>C6/82</f>
        <v>1.2195121951219513E-2</v>
      </c>
    </row>
    <row r="7" spans="1:4" x14ac:dyDescent="0.2">
      <c r="A7" s="36" t="s">
        <v>23</v>
      </c>
      <c r="B7" s="36" t="s">
        <v>265</v>
      </c>
      <c r="C7" s="37">
        <v>24</v>
      </c>
      <c r="D7" s="133">
        <f>C7/82</f>
        <v>0.29268292682926828</v>
      </c>
    </row>
    <row r="8" spans="1:4" x14ac:dyDescent="0.2">
      <c r="A8" s="36" t="s">
        <v>23</v>
      </c>
      <c r="B8" s="36" t="s">
        <v>266</v>
      </c>
      <c r="C8" s="37">
        <v>57</v>
      </c>
      <c r="D8" s="133">
        <f>C8/82</f>
        <v>0.69512195121951215</v>
      </c>
    </row>
    <row r="9" spans="1:4" x14ac:dyDescent="0.2">
      <c r="A9" s="36"/>
      <c r="B9" s="36"/>
      <c r="C9" s="37">
        <f>SUM(C6:C8)</f>
        <v>82</v>
      </c>
      <c r="D9" s="133">
        <f>SUM(D6:D8)</f>
        <v>1</v>
      </c>
    </row>
    <row r="11" spans="1:4" x14ac:dyDescent="0.2">
      <c r="A11" s="38" t="s">
        <v>11</v>
      </c>
      <c r="B11" s="38" t="s">
        <v>36</v>
      </c>
      <c r="C11" s="38" t="s">
        <v>250</v>
      </c>
      <c r="D11" s="39" t="s">
        <v>16</v>
      </c>
    </row>
    <row r="12" spans="1:4" x14ac:dyDescent="0.2">
      <c r="A12" s="40" t="s">
        <v>23</v>
      </c>
      <c r="B12" s="40" t="s">
        <v>201</v>
      </c>
      <c r="C12" s="41">
        <v>71</v>
      </c>
      <c r="D12" s="133">
        <f t="shared" ref="D12:D15" si="0">C12/82</f>
        <v>0.86585365853658536</v>
      </c>
    </row>
    <row r="13" spans="1:4" x14ac:dyDescent="0.2">
      <c r="A13" s="40" t="s">
        <v>23</v>
      </c>
      <c r="B13" s="40" t="s">
        <v>39</v>
      </c>
      <c r="C13" s="41">
        <v>3</v>
      </c>
      <c r="D13" s="133">
        <f t="shared" si="0"/>
        <v>3.6585365853658534E-2</v>
      </c>
    </row>
    <row r="14" spans="1:4" x14ac:dyDescent="0.2">
      <c r="A14" s="40" t="s">
        <v>23</v>
      </c>
      <c r="B14" s="40" t="s">
        <v>41</v>
      </c>
      <c r="C14" s="41">
        <v>7</v>
      </c>
      <c r="D14" s="133">
        <f t="shared" si="0"/>
        <v>8.5365853658536592E-2</v>
      </c>
    </row>
    <row r="15" spans="1:4" ht="24" x14ac:dyDescent="0.2">
      <c r="A15" s="40" t="s">
        <v>23</v>
      </c>
      <c r="B15" s="40" t="s">
        <v>42</v>
      </c>
      <c r="C15" s="41">
        <v>1</v>
      </c>
      <c r="D15" s="133">
        <f t="shared" si="0"/>
        <v>1.2195121951219513E-2</v>
      </c>
    </row>
    <row r="16" spans="1:4" x14ac:dyDescent="0.2">
      <c r="A16" s="40"/>
      <c r="B16" s="40"/>
      <c r="C16" s="41">
        <f>SUM(C12:C15)</f>
        <v>82</v>
      </c>
      <c r="D16" s="133">
        <f>SUM(D12:D15)</f>
        <v>1</v>
      </c>
    </row>
    <row r="18" spans="1:4" x14ac:dyDescent="0.2">
      <c r="A18" s="93" t="s">
        <v>11</v>
      </c>
      <c r="B18" s="93" t="s">
        <v>44</v>
      </c>
      <c r="C18" s="93" t="s">
        <v>37</v>
      </c>
      <c r="D18" s="39" t="s">
        <v>16</v>
      </c>
    </row>
    <row r="19" spans="1:4" x14ac:dyDescent="0.2">
      <c r="A19" s="43" t="s">
        <v>23</v>
      </c>
      <c r="B19" s="43" t="s">
        <v>46</v>
      </c>
      <c r="C19" s="44">
        <v>6</v>
      </c>
      <c r="D19" s="133">
        <f t="shared" ref="D19:D25" si="1">C19/82</f>
        <v>7.3170731707317069E-2</v>
      </c>
    </row>
    <row r="20" spans="1:4" x14ac:dyDescent="0.2">
      <c r="A20" s="43" t="s">
        <v>23</v>
      </c>
      <c r="B20" s="43" t="s">
        <v>47</v>
      </c>
      <c r="C20" s="44">
        <v>43</v>
      </c>
      <c r="D20" s="133">
        <f t="shared" si="1"/>
        <v>0.52439024390243905</v>
      </c>
    </row>
    <row r="21" spans="1:4" x14ac:dyDescent="0.2">
      <c r="A21" s="43" t="s">
        <v>23</v>
      </c>
      <c r="B21" s="43" t="s">
        <v>48</v>
      </c>
      <c r="C21" s="44">
        <v>1</v>
      </c>
      <c r="D21" s="133">
        <f t="shared" si="1"/>
        <v>1.2195121951219513E-2</v>
      </c>
    </row>
    <row r="22" spans="1:4" x14ac:dyDescent="0.2">
      <c r="A22" s="43" t="s">
        <v>23</v>
      </c>
      <c r="B22" s="43" t="s">
        <v>49</v>
      </c>
      <c r="C22" s="44">
        <v>1</v>
      </c>
      <c r="D22" s="133">
        <f t="shared" si="1"/>
        <v>1.2195121951219513E-2</v>
      </c>
    </row>
    <row r="23" spans="1:4" x14ac:dyDescent="0.2">
      <c r="A23" s="43" t="s">
        <v>23</v>
      </c>
      <c r="B23" s="43" t="s">
        <v>50</v>
      </c>
      <c r="C23" s="44">
        <v>1</v>
      </c>
      <c r="D23" s="133">
        <f t="shared" si="1"/>
        <v>1.2195121951219513E-2</v>
      </c>
    </row>
    <row r="24" spans="1:4" x14ac:dyDescent="0.2">
      <c r="A24" s="43" t="s">
        <v>23</v>
      </c>
      <c r="B24" s="43" t="s">
        <v>51</v>
      </c>
      <c r="C24" s="44">
        <v>12</v>
      </c>
      <c r="D24" s="133">
        <f t="shared" si="1"/>
        <v>0.14634146341463414</v>
      </c>
    </row>
    <row r="25" spans="1:4" x14ac:dyDescent="0.2">
      <c r="A25" s="43" t="s">
        <v>23</v>
      </c>
      <c r="B25" s="43" t="s">
        <v>52</v>
      </c>
      <c r="C25" s="44">
        <v>18</v>
      </c>
      <c r="D25" s="133">
        <f t="shared" si="1"/>
        <v>0.21951219512195122</v>
      </c>
    </row>
    <row r="26" spans="1:4" x14ac:dyDescent="0.2">
      <c r="C26" s="136">
        <f>SUM(C19:C25)</f>
        <v>82</v>
      </c>
      <c r="D26" s="133">
        <f>SUM(D19:D25)</f>
        <v>1</v>
      </c>
    </row>
    <row r="28" spans="1:4" ht="24" x14ac:dyDescent="0.2">
      <c r="A28" s="45" t="s">
        <v>11</v>
      </c>
      <c r="B28" s="45" t="s">
        <v>176</v>
      </c>
      <c r="C28" s="45" t="s">
        <v>37</v>
      </c>
      <c r="D28" s="117" t="s">
        <v>16</v>
      </c>
    </row>
    <row r="29" spans="1:4" x14ac:dyDescent="0.2">
      <c r="A29" s="46" t="s">
        <v>23</v>
      </c>
      <c r="B29" s="46" t="s">
        <v>54</v>
      </c>
      <c r="C29" s="47">
        <v>33</v>
      </c>
      <c r="D29" s="133">
        <f t="shared" ref="D29:D33" si="2">C29/82</f>
        <v>0.40243902439024393</v>
      </c>
    </row>
    <row r="30" spans="1:4" x14ac:dyDescent="0.2">
      <c r="A30" s="46" t="s">
        <v>23</v>
      </c>
      <c r="B30" s="46" t="s">
        <v>55</v>
      </c>
      <c r="C30" s="47">
        <v>6</v>
      </c>
      <c r="D30" s="133">
        <f t="shared" si="2"/>
        <v>7.3170731707317069E-2</v>
      </c>
    </row>
    <row r="31" spans="1:4" x14ac:dyDescent="0.2">
      <c r="A31" s="46" t="s">
        <v>23</v>
      </c>
      <c r="B31" s="46" t="s">
        <v>57</v>
      </c>
      <c r="C31" s="47">
        <v>5</v>
      </c>
      <c r="D31" s="133">
        <f t="shared" si="2"/>
        <v>6.097560975609756E-2</v>
      </c>
    </row>
    <row r="32" spans="1:4" x14ac:dyDescent="0.2">
      <c r="A32" s="46" t="s">
        <v>23</v>
      </c>
      <c r="B32" s="46" t="s">
        <v>53</v>
      </c>
      <c r="C32" s="47">
        <v>21</v>
      </c>
      <c r="D32" s="133">
        <f t="shared" si="2"/>
        <v>0.25609756097560976</v>
      </c>
    </row>
    <row r="33" spans="1:4" x14ac:dyDescent="0.2">
      <c r="A33" s="46" t="s">
        <v>23</v>
      </c>
      <c r="B33" s="46" t="s">
        <v>56</v>
      </c>
      <c r="C33" s="47">
        <v>17</v>
      </c>
      <c r="D33" s="133">
        <f t="shared" si="2"/>
        <v>0.2073170731707317</v>
      </c>
    </row>
    <row r="34" spans="1:4" x14ac:dyDescent="0.2">
      <c r="C34" s="136">
        <f>SUM(C29:C33)</f>
        <v>82</v>
      </c>
      <c r="D34" s="133">
        <f>SUM(D29:D33)</f>
        <v>1</v>
      </c>
    </row>
    <row r="36" spans="1:4" x14ac:dyDescent="0.2">
      <c r="A36" s="48" t="s">
        <v>11</v>
      </c>
      <c r="B36" s="48" t="s">
        <v>177</v>
      </c>
      <c r="C36" s="48" t="s">
        <v>37</v>
      </c>
      <c r="D36" s="117" t="s">
        <v>16</v>
      </c>
    </row>
    <row r="37" spans="1:4" x14ac:dyDescent="0.2">
      <c r="A37" s="49" t="s">
        <v>23</v>
      </c>
      <c r="B37" s="49" t="s">
        <v>178</v>
      </c>
      <c r="C37" s="50">
        <v>1</v>
      </c>
      <c r="D37" s="133">
        <f t="shared" ref="D37:D44" si="3">C37/82</f>
        <v>1.2195121951219513E-2</v>
      </c>
    </row>
    <row r="38" spans="1:4" x14ac:dyDescent="0.2">
      <c r="A38" s="49" t="s">
        <v>23</v>
      </c>
      <c r="B38" s="49" t="s">
        <v>179</v>
      </c>
      <c r="C38" s="50">
        <v>1</v>
      </c>
      <c r="D38" s="133">
        <f t="shared" si="3"/>
        <v>1.2195121951219513E-2</v>
      </c>
    </row>
    <row r="39" spans="1:4" x14ac:dyDescent="0.2">
      <c r="A39" s="49" t="s">
        <v>23</v>
      </c>
      <c r="B39" s="49" t="s">
        <v>180</v>
      </c>
      <c r="C39" s="50">
        <v>5</v>
      </c>
      <c r="D39" s="133">
        <f t="shared" si="3"/>
        <v>6.097560975609756E-2</v>
      </c>
    </row>
    <row r="40" spans="1:4" x14ac:dyDescent="0.2">
      <c r="A40" s="49" t="s">
        <v>23</v>
      </c>
      <c r="B40" s="49" t="s">
        <v>181</v>
      </c>
      <c r="C40" s="50">
        <v>4</v>
      </c>
      <c r="D40" s="133">
        <f t="shared" si="3"/>
        <v>4.878048780487805E-2</v>
      </c>
    </row>
    <row r="41" spans="1:4" ht="24" x14ac:dyDescent="0.2">
      <c r="A41" s="49" t="s">
        <v>23</v>
      </c>
      <c r="B41" s="49" t="s">
        <v>214</v>
      </c>
      <c r="C41" s="50">
        <v>4</v>
      </c>
      <c r="D41" s="133">
        <f t="shared" si="3"/>
        <v>4.878048780487805E-2</v>
      </c>
    </row>
    <row r="42" spans="1:4" x14ac:dyDescent="0.2">
      <c r="A42" s="49" t="s">
        <v>23</v>
      </c>
      <c r="B42" s="49" t="s">
        <v>182</v>
      </c>
      <c r="C42" s="50">
        <v>19</v>
      </c>
      <c r="D42" s="133">
        <f t="shared" si="3"/>
        <v>0.23170731707317074</v>
      </c>
    </row>
    <row r="43" spans="1:4" x14ac:dyDescent="0.2">
      <c r="A43" s="49" t="s">
        <v>23</v>
      </c>
      <c r="B43" s="49" t="s">
        <v>215</v>
      </c>
      <c r="C43" s="50">
        <v>47</v>
      </c>
      <c r="D43" s="133">
        <f t="shared" si="3"/>
        <v>0.57317073170731703</v>
      </c>
    </row>
    <row r="44" spans="1:4" x14ac:dyDescent="0.2">
      <c r="A44" s="49" t="s">
        <v>23</v>
      </c>
      <c r="B44" s="49" t="s">
        <v>33</v>
      </c>
      <c r="C44" s="50">
        <v>1</v>
      </c>
      <c r="D44" s="133">
        <f t="shared" si="3"/>
        <v>1.2195121951219513E-2</v>
      </c>
    </row>
    <row r="45" spans="1:4" x14ac:dyDescent="0.2">
      <c r="C45" s="136">
        <f>SUM(C37:C44)</f>
        <v>82</v>
      </c>
      <c r="D45" s="133">
        <f>SUM(D37:D44)</f>
        <v>1</v>
      </c>
    </row>
    <row r="47" spans="1:4" x14ac:dyDescent="0.2">
      <c r="A47" s="34" t="s">
        <v>11</v>
      </c>
      <c r="B47" s="34" t="s">
        <v>183</v>
      </c>
      <c r="C47" s="34" t="s">
        <v>37</v>
      </c>
      <c r="D47" s="117" t="s">
        <v>16</v>
      </c>
    </row>
    <row r="48" spans="1:4" x14ac:dyDescent="0.2">
      <c r="A48" s="36" t="s">
        <v>23</v>
      </c>
      <c r="B48" s="36" t="s">
        <v>60</v>
      </c>
      <c r="C48" s="37">
        <v>48</v>
      </c>
      <c r="D48" s="133">
        <f t="shared" ref="D48" si="4">C48/82</f>
        <v>0.58536585365853655</v>
      </c>
    </row>
    <row r="51" spans="1:4" x14ac:dyDescent="0.2">
      <c r="A51" s="34" t="s">
        <v>11</v>
      </c>
      <c r="B51" s="34" t="s">
        <v>61</v>
      </c>
      <c r="C51" s="34" t="s">
        <v>37</v>
      </c>
      <c r="D51" s="117" t="s">
        <v>16</v>
      </c>
    </row>
    <row r="52" spans="1:4" x14ac:dyDescent="0.2">
      <c r="A52" s="36" t="s">
        <v>23</v>
      </c>
      <c r="B52" s="36" t="s">
        <v>216</v>
      </c>
      <c r="C52" s="37">
        <v>8</v>
      </c>
      <c r="D52" s="133">
        <f t="shared" ref="D52:D59" si="5">C52/82</f>
        <v>9.7560975609756101E-2</v>
      </c>
    </row>
    <row r="53" spans="1:4" x14ac:dyDescent="0.2">
      <c r="A53" s="36" t="s">
        <v>23</v>
      </c>
      <c r="B53" s="36" t="s">
        <v>184</v>
      </c>
      <c r="C53" s="37">
        <v>6</v>
      </c>
      <c r="D53" s="133">
        <f t="shared" si="5"/>
        <v>7.3170731707317069E-2</v>
      </c>
    </row>
    <row r="54" spans="1:4" x14ac:dyDescent="0.2">
      <c r="A54" s="36" t="s">
        <v>23</v>
      </c>
      <c r="B54" s="36" t="s">
        <v>217</v>
      </c>
      <c r="C54" s="37">
        <v>1</v>
      </c>
      <c r="D54" s="133">
        <f t="shared" si="5"/>
        <v>1.2195121951219513E-2</v>
      </c>
    </row>
    <row r="55" spans="1:4" x14ac:dyDescent="0.2">
      <c r="A55" s="36" t="s">
        <v>23</v>
      </c>
      <c r="B55" s="36" t="s">
        <v>267</v>
      </c>
      <c r="C55" s="37">
        <v>1</v>
      </c>
      <c r="D55" s="133">
        <f t="shared" si="5"/>
        <v>1.2195121951219513E-2</v>
      </c>
    </row>
    <row r="56" spans="1:4" x14ac:dyDescent="0.2">
      <c r="A56" s="36" t="s">
        <v>23</v>
      </c>
      <c r="B56" s="36" t="s">
        <v>233</v>
      </c>
      <c r="C56" s="37">
        <v>1</v>
      </c>
      <c r="D56" s="133">
        <f t="shared" si="5"/>
        <v>1.2195121951219513E-2</v>
      </c>
    </row>
    <row r="57" spans="1:4" x14ac:dyDescent="0.2">
      <c r="A57" s="36" t="s">
        <v>23</v>
      </c>
      <c r="B57" s="36" t="s">
        <v>268</v>
      </c>
      <c r="C57" s="37">
        <v>2</v>
      </c>
      <c r="D57" s="133">
        <f t="shared" si="5"/>
        <v>2.4390243902439025E-2</v>
      </c>
    </row>
    <row r="58" spans="1:4" x14ac:dyDescent="0.2">
      <c r="A58" s="36" t="s">
        <v>23</v>
      </c>
      <c r="B58" s="36" t="s">
        <v>269</v>
      </c>
      <c r="C58" s="37">
        <v>1</v>
      </c>
      <c r="D58" s="133">
        <f t="shared" si="5"/>
        <v>1.2195121951219513E-2</v>
      </c>
    </row>
    <row r="59" spans="1:4" x14ac:dyDescent="0.2">
      <c r="A59" s="136" t="s">
        <v>23</v>
      </c>
      <c r="B59" s="136" t="s">
        <v>33</v>
      </c>
      <c r="C59" s="136">
        <v>14</v>
      </c>
      <c r="D59" s="133">
        <f t="shared" si="5"/>
        <v>0.17073170731707318</v>
      </c>
    </row>
    <row r="60" spans="1:4" x14ac:dyDescent="0.2">
      <c r="C60" s="136">
        <f>SUM(C52:C59)</f>
        <v>34</v>
      </c>
      <c r="D60" s="133">
        <f>SUM(D52:D59)</f>
        <v>0.41463414634146345</v>
      </c>
    </row>
    <row r="61" spans="1:4" x14ac:dyDescent="0.2">
      <c r="A61" s="121"/>
      <c r="B61" s="122" t="s">
        <v>63</v>
      </c>
      <c r="C61" s="121"/>
      <c r="D61" s="121"/>
    </row>
    <row r="62" spans="1:4" x14ac:dyDescent="0.2">
      <c r="A62" s="42" t="s">
        <v>11</v>
      </c>
      <c r="B62" s="42" t="s">
        <v>64</v>
      </c>
      <c r="C62" s="42" t="s">
        <v>186</v>
      </c>
      <c r="D62" s="117" t="s">
        <v>16</v>
      </c>
    </row>
    <row r="63" spans="1:4" ht="24" x14ac:dyDescent="0.2">
      <c r="A63" s="43" t="s">
        <v>23</v>
      </c>
      <c r="B63" s="43" t="s">
        <v>65</v>
      </c>
      <c r="C63" s="44">
        <v>21</v>
      </c>
      <c r="D63" s="119">
        <f>C63/146</f>
        <v>0.14383561643835616</v>
      </c>
    </row>
    <row r="64" spans="1:4" x14ac:dyDescent="0.2">
      <c r="A64" s="43" t="s">
        <v>23</v>
      </c>
      <c r="B64" s="43" t="s">
        <v>74</v>
      </c>
      <c r="C64" s="44">
        <v>16</v>
      </c>
      <c r="D64" s="119">
        <f t="shared" ref="D64:D75" si="6">C64/146</f>
        <v>0.1095890410958904</v>
      </c>
    </row>
    <row r="65" spans="1:4" x14ac:dyDescent="0.2">
      <c r="A65" s="43" t="s">
        <v>23</v>
      </c>
      <c r="B65" s="43" t="s">
        <v>220</v>
      </c>
      <c r="C65" s="44">
        <v>8</v>
      </c>
      <c r="D65" s="119">
        <f t="shared" si="6"/>
        <v>5.4794520547945202E-2</v>
      </c>
    </row>
    <row r="66" spans="1:4" x14ac:dyDescent="0.2">
      <c r="A66" s="43" t="s">
        <v>23</v>
      </c>
      <c r="B66" s="43" t="s">
        <v>76</v>
      </c>
      <c r="C66" s="44">
        <v>14</v>
      </c>
      <c r="D66" s="119">
        <f t="shared" si="6"/>
        <v>9.5890410958904104E-2</v>
      </c>
    </row>
    <row r="67" spans="1:4" x14ac:dyDescent="0.2">
      <c r="A67" s="43" t="s">
        <v>23</v>
      </c>
      <c r="B67" s="43" t="s">
        <v>77</v>
      </c>
      <c r="C67" s="44">
        <v>3</v>
      </c>
      <c r="D67" s="119">
        <f t="shared" si="6"/>
        <v>2.0547945205479451E-2</v>
      </c>
    </row>
    <row r="68" spans="1:4" x14ac:dyDescent="0.2">
      <c r="A68" s="43" t="s">
        <v>23</v>
      </c>
      <c r="B68" s="43" t="s">
        <v>66</v>
      </c>
      <c r="C68" s="44">
        <v>9</v>
      </c>
      <c r="D68" s="119">
        <f t="shared" si="6"/>
        <v>6.1643835616438353E-2</v>
      </c>
    </row>
    <row r="69" spans="1:4" x14ac:dyDescent="0.2">
      <c r="A69" s="43" t="s">
        <v>23</v>
      </c>
      <c r="B69" s="43" t="s">
        <v>67</v>
      </c>
      <c r="C69" s="44">
        <v>4</v>
      </c>
      <c r="D69" s="119">
        <f t="shared" si="6"/>
        <v>2.7397260273972601E-2</v>
      </c>
    </row>
    <row r="70" spans="1:4" x14ac:dyDescent="0.2">
      <c r="A70" s="43" t="s">
        <v>23</v>
      </c>
      <c r="B70" s="43" t="s">
        <v>68</v>
      </c>
      <c r="C70" s="44">
        <v>24</v>
      </c>
      <c r="D70" s="119">
        <f t="shared" si="6"/>
        <v>0.16438356164383561</v>
      </c>
    </row>
    <row r="71" spans="1:4" x14ac:dyDescent="0.2">
      <c r="A71" s="43" t="s">
        <v>23</v>
      </c>
      <c r="B71" s="43" t="s">
        <v>69</v>
      </c>
      <c r="C71" s="44">
        <v>7</v>
      </c>
      <c r="D71" s="119">
        <f t="shared" si="6"/>
        <v>4.7945205479452052E-2</v>
      </c>
    </row>
    <row r="72" spans="1:4" x14ac:dyDescent="0.2">
      <c r="A72" s="43" t="s">
        <v>23</v>
      </c>
      <c r="B72" s="43" t="s">
        <v>70</v>
      </c>
      <c r="C72" s="44">
        <v>9</v>
      </c>
      <c r="D72" s="119">
        <f t="shared" si="6"/>
        <v>6.1643835616438353E-2</v>
      </c>
    </row>
    <row r="73" spans="1:4" x14ac:dyDescent="0.2">
      <c r="A73" s="43" t="s">
        <v>23</v>
      </c>
      <c r="B73" s="43" t="s">
        <v>71</v>
      </c>
      <c r="C73" s="44">
        <v>5</v>
      </c>
      <c r="D73" s="119">
        <f t="shared" si="6"/>
        <v>3.4246575342465752E-2</v>
      </c>
    </row>
    <row r="74" spans="1:4" x14ac:dyDescent="0.2">
      <c r="A74" s="43" t="s">
        <v>23</v>
      </c>
      <c r="B74" s="43" t="s">
        <v>72</v>
      </c>
      <c r="C74" s="44">
        <v>22</v>
      </c>
      <c r="D74" s="119">
        <f t="shared" si="6"/>
        <v>0.15068493150684931</v>
      </c>
    </row>
    <row r="75" spans="1:4" x14ac:dyDescent="0.2">
      <c r="A75" s="43" t="s">
        <v>23</v>
      </c>
      <c r="B75" s="43" t="s">
        <v>73</v>
      </c>
      <c r="C75" s="44">
        <v>4</v>
      </c>
      <c r="D75" s="119">
        <f t="shared" si="6"/>
        <v>2.7397260273972601E-2</v>
      </c>
    </row>
    <row r="76" spans="1:4" x14ac:dyDescent="0.2">
      <c r="C76" s="136">
        <f>SUM(C63:C75)</f>
        <v>146</v>
      </c>
      <c r="D76" s="133">
        <f>SUM(D63:D75)</f>
        <v>1</v>
      </c>
    </row>
    <row r="78" spans="1:4" x14ac:dyDescent="0.2">
      <c r="B78" s="122" t="s">
        <v>63</v>
      </c>
    </row>
    <row r="79" spans="1:4" x14ac:dyDescent="0.2">
      <c r="A79" s="95" t="s">
        <v>11</v>
      </c>
      <c r="B79" s="95" t="s">
        <v>187</v>
      </c>
      <c r="C79" s="95" t="s">
        <v>37</v>
      </c>
      <c r="D79" s="39" t="s">
        <v>16</v>
      </c>
    </row>
    <row r="80" spans="1:4" x14ac:dyDescent="0.2">
      <c r="A80" s="46" t="s">
        <v>23</v>
      </c>
      <c r="B80" s="46" t="s">
        <v>174</v>
      </c>
      <c r="C80" s="47">
        <v>29</v>
      </c>
      <c r="D80" s="119">
        <f>C80/142</f>
        <v>0.20422535211267606</v>
      </c>
    </row>
    <row r="81" spans="1:4" x14ac:dyDescent="0.2">
      <c r="A81" s="46" t="s">
        <v>23</v>
      </c>
      <c r="B81" s="46" t="s">
        <v>81</v>
      </c>
      <c r="C81" s="47">
        <v>27</v>
      </c>
      <c r="D81" s="119">
        <f t="shared" ref="D81:D84" si="7">C81/142</f>
        <v>0.19014084507042253</v>
      </c>
    </row>
    <row r="82" spans="1:4" x14ac:dyDescent="0.2">
      <c r="A82" s="46" t="s">
        <v>23</v>
      </c>
      <c r="B82" s="46" t="s">
        <v>82</v>
      </c>
      <c r="C82" s="47">
        <v>35</v>
      </c>
      <c r="D82" s="119">
        <f t="shared" si="7"/>
        <v>0.24647887323943662</v>
      </c>
    </row>
    <row r="83" spans="1:4" ht="24" x14ac:dyDescent="0.2">
      <c r="A83" s="46" t="s">
        <v>23</v>
      </c>
      <c r="B83" s="46" t="s">
        <v>83</v>
      </c>
      <c r="C83" s="47">
        <v>29</v>
      </c>
      <c r="D83" s="119">
        <f t="shared" si="7"/>
        <v>0.20422535211267606</v>
      </c>
    </row>
    <row r="84" spans="1:4" x14ac:dyDescent="0.2">
      <c r="A84" s="46" t="s">
        <v>23</v>
      </c>
      <c r="B84" s="46" t="s">
        <v>84</v>
      </c>
      <c r="C84" s="47">
        <v>22</v>
      </c>
      <c r="D84" s="119">
        <f t="shared" si="7"/>
        <v>0.15492957746478872</v>
      </c>
    </row>
    <row r="85" spans="1:4" x14ac:dyDescent="0.2">
      <c r="C85" s="136">
        <f>SUM(C80:C84)</f>
        <v>142</v>
      </c>
      <c r="D85" s="133">
        <f>SUM(D80:D84)</f>
        <v>1</v>
      </c>
    </row>
    <row r="87" spans="1:4" x14ac:dyDescent="0.2">
      <c r="B87" s="122" t="s">
        <v>63</v>
      </c>
    </row>
    <row r="88" spans="1:4" x14ac:dyDescent="0.2">
      <c r="A88" s="96" t="s">
        <v>11</v>
      </c>
      <c r="B88" s="96" t="s">
        <v>87</v>
      </c>
      <c r="C88" s="96" t="s">
        <v>37</v>
      </c>
      <c r="D88" s="39" t="s">
        <v>16</v>
      </c>
    </row>
    <row r="89" spans="1:4" x14ac:dyDescent="0.2">
      <c r="A89" s="49" t="s">
        <v>23</v>
      </c>
      <c r="B89" s="49" t="s">
        <v>88</v>
      </c>
      <c r="C89" s="50">
        <v>5</v>
      </c>
      <c r="D89" s="119">
        <f>C89/53</f>
        <v>9.4339622641509441E-2</v>
      </c>
    </row>
    <row r="90" spans="1:4" ht="24" x14ac:dyDescent="0.2">
      <c r="A90" s="49" t="s">
        <v>23</v>
      </c>
      <c r="B90" s="49" t="s">
        <v>90</v>
      </c>
      <c r="C90" s="50">
        <v>3</v>
      </c>
      <c r="D90" s="119">
        <f t="shared" ref="D90:D94" si="8">C90/53</f>
        <v>5.6603773584905662E-2</v>
      </c>
    </row>
    <row r="91" spans="1:4" x14ac:dyDescent="0.2">
      <c r="A91" s="49" t="s">
        <v>23</v>
      </c>
      <c r="B91" s="49" t="s">
        <v>91</v>
      </c>
      <c r="C91" s="50">
        <v>24</v>
      </c>
      <c r="D91" s="119">
        <f t="shared" si="8"/>
        <v>0.45283018867924529</v>
      </c>
    </row>
    <row r="92" spans="1:4" ht="24" x14ac:dyDescent="0.2">
      <c r="A92" s="49" t="s">
        <v>23</v>
      </c>
      <c r="B92" s="49" t="s">
        <v>92</v>
      </c>
      <c r="C92" s="50">
        <v>12</v>
      </c>
      <c r="D92" s="119">
        <f t="shared" si="8"/>
        <v>0.22641509433962265</v>
      </c>
    </row>
    <row r="93" spans="1:4" ht="15.75" customHeight="1" x14ac:dyDescent="0.2">
      <c r="A93" s="49" t="s">
        <v>23</v>
      </c>
      <c r="B93" s="49" t="s">
        <v>93</v>
      </c>
      <c r="C93" s="50">
        <v>7</v>
      </c>
      <c r="D93" s="119">
        <f t="shared" si="8"/>
        <v>0.13207547169811321</v>
      </c>
    </row>
    <row r="94" spans="1:4" x14ac:dyDescent="0.2">
      <c r="A94" s="49" t="s">
        <v>23</v>
      </c>
      <c r="B94" s="49" t="s">
        <v>95</v>
      </c>
      <c r="C94" s="50">
        <v>2</v>
      </c>
      <c r="D94" s="119">
        <f t="shared" si="8"/>
        <v>3.7735849056603772E-2</v>
      </c>
    </row>
    <row r="95" spans="1:4" x14ac:dyDescent="0.2">
      <c r="C95" s="136">
        <f>SUM(C89:C94)</f>
        <v>53</v>
      </c>
      <c r="D95" s="133">
        <f>SUM(D89:D94)</f>
        <v>1</v>
      </c>
    </row>
    <row r="97" spans="1:5" x14ac:dyDescent="0.2">
      <c r="B97" s="122" t="s">
        <v>63</v>
      </c>
    </row>
    <row r="98" spans="1:5" x14ac:dyDescent="0.2">
      <c r="A98" s="97" t="s">
        <v>11</v>
      </c>
      <c r="B98" s="97" t="s">
        <v>188</v>
      </c>
      <c r="C98" s="97" t="s">
        <v>37</v>
      </c>
      <c r="D98" s="39" t="s">
        <v>16</v>
      </c>
    </row>
    <row r="99" spans="1:5" ht="24" x14ac:dyDescent="0.2">
      <c r="A99" s="52" t="s">
        <v>23</v>
      </c>
      <c r="B99" s="52" t="s">
        <v>98</v>
      </c>
      <c r="C99" s="53">
        <v>29</v>
      </c>
      <c r="D99" s="119">
        <f>C99/130</f>
        <v>0.22307692307692309</v>
      </c>
    </row>
    <row r="100" spans="1:5" x14ac:dyDescent="0.2">
      <c r="A100" s="52" t="s">
        <v>23</v>
      </c>
      <c r="B100" s="52" t="s">
        <v>99</v>
      </c>
      <c r="C100" s="53">
        <v>15</v>
      </c>
      <c r="D100" s="119">
        <f t="shared" ref="D100:D106" si="9">C100/130</f>
        <v>0.11538461538461539</v>
      </c>
    </row>
    <row r="101" spans="1:5" ht="24" x14ac:dyDescent="0.2">
      <c r="A101" s="52" t="s">
        <v>23</v>
      </c>
      <c r="B101" s="52" t="s">
        <v>100</v>
      </c>
      <c r="C101" s="53">
        <v>7</v>
      </c>
      <c r="D101" s="119">
        <f t="shared" si="9"/>
        <v>5.3846153846153849E-2</v>
      </c>
    </row>
    <row r="102" spans="1:5" x14ac:dyDescent="0.2">
      <c r="A102" s="52" t="s">
        <v>23</v>
      </c>
      <c r="B102" s="52" t="s">
        <v>101</v>
      </c>
      <c r="C102" s="53">
        <v>6</v>
      </c>
      <c r="D102" s="119">
        <f t="shared" si="9"/>
        <v>4.6153846153846156E-2</v>
      </c>
    </row>
    <row r="103" spans="1:5" x14ac:dyDescent="0.2">
      <c r="A103" s="52" t="s">
        <v>23</v>
      </c>
      <c r="B103" s="52" t="s">
        <v>102</v>
      </c>
      <c r="C103" s="53">
        <v>23</v>
      </c>
      <c r="D103" s="119">
        <f t="shared" si="9"/>
        <v>0.17692307692307693</v>
      </c>
    </row>
    <row r="104" spans="1:5" x14ac:dyDescent="0.2">
      <c r="A104" s="52" t="s">
        <v>23</v>
      </c>
      <c r="B104" s="52" t="s">
        <v>103</v>
      </c>
      <c r="C104" s="53">
        <v>25</v>
      </c>
      <c r="D104" s="119">
        <f t="shared" si="9"/>
        <v>0.19230769230769232</v>
      </c>
    </row>
    <row r="105" spans="1:5" x14ac:dyDescent="0.2">
      <c r="A105" s="52" t="s">
        <v>23</v>
      </c>
      <c r="B105" s="52" t="s">
        <v>104</v>
      </c>
      <c r="C105" s="53">
        <v>23</v>
      </c>
      <c r="D105" s="119">
        <f t="shared" si="9"/>
        <v>0.17692307692307693</v>
      </c>
    </row>
    <row r="106" spans="1:5" x14ac:dyDescent="0.2">
      <c r="A106" s="52" t="s">
        <v>23</v>
      </c>
      <c r="B106" s="52" t="s">
        <v>105</v>
      </c>
      <c r="C106" s="53">
        <v>2</v>
      </c>
      <c r="D106" s="119">
        <f t="shared" si="9"/>
        <v>1.5384615384615385E-2</v>
      </c>
    </row>
    <row r="107" spans="1:5" x14ac:dyDescent="0.2">
      <c r="C107" s="136">
        <f>SUM(C99:C106)</f>
        <v>130</v>
      </c>
      <c r="D107" s="133">
        <f>SUM(D99:D106)</f>
        <v>1</v>
      </c>
    </row>
    <row r="109" spans="1:5" ht="36" x14ac:dyDescent="0.2">
      <c r="A109" s="54" t="s">
        <v>11</v>
      </c>
      <c r="B109" s="54" t="s">
        <v>202</v>
      </c>
      <c r="C109" s="117" t="s">
        <v>203</v>
      </c>
      <c r="D109" s="39" t="s">
        <v>3</v>
      </c>
      <c r="E109" s="117" t="s">
        <v>10</v>
      </c>
    </row>
    <row r="110" spans="1:5" x14ac:dyDescent="0.2">
      <c r="A110" s="46" t="s">
        <v>23</v>
      </c>
      <c r="B110" s="47">
        <v>52</v>
      </c>
      <c r="C110" s="136">
        <v>7</v>
      </c>
      <c r="D110" s="136">
        <f>SUM(B110:C110)</f>
        <v>59</v>
      </c>
      <c r="E110" s="136">
        <v>7</v>
      </c>
    </row>
    <row r="113" spans="1:5" ht="24" x14ac:dyDescent="0.2">
      <c r="A113" s="55" t="s">
        <v>11</v>
      </c>
      <c r="B113" s="55" t="s">
        <v>189</v>
      </c>
      <c r="C113" s="56" t="s">
        <v>37</v>
      </c>
      <c r="D113" s="117" t="s">
        <v>16</v>
      </c>
    </row>
    <row r="114" spans="1:5" x14ac:dyDescent="0.2">
      <c r="A114" s="57" t="s">
        <v>23</v>
      </c>
      <c r="B114" s="57" t="s">
        <v>60</v>
      </c>
      <c r="C114" s="58">
        <v>28</v>
      </c>
      <c r="D114" s="133">
        <f t="shared" ref="D114" si="10">C114/82</f>
        <v>0.34146341463414637</v>
      </c>
    </row>
    <row r="116" spans="1:5" ht="36" x14ac:dyDescent="0.2">
      <c r="A116" s="59" t="s">
        <v>11</v>
      </c>
      <c r="B116" s="59" t="s">
        <v>190</v>
      </c>
      <c r="C116" s="59" t="s">
        <v>37</v>
      </c>
      <c r="D116" s="117" t="s">
        <v>221</v>
      </c>
      <c r="E116" s="117" t="s">
        <v>3</v>
      </c>
    </row>
    <row r="117" spans="1:5" x14ac:dyDescent="0.2">
      <c r="A117" s="60" t="s">
        <v>23</v>
      </c>
      <c r="B117" s="60" t="s">
        <v>60</v>
      </c>
      <c r="C117" s="61">
        <v>18</v>
      </c>
      <c r="D117" s="136">
        <v>1</v>
      </c>
      <c r="E117" s="136">
        <f>SUM(C117:D117)</f>
        <v>19</v>
      </c>
    </row>
    <row r="119" spans="1:5" ht="24" x14ac:dyDescent="0.2">
      <c r="A119" s="62" t="s">
        <v>11</v>
      </c>
      <c r="B119" s="62" t="s">
        <v>191</v>
      </c>
      <c r="C119" s="62" t="s">
        <v>37</v>
      </c>
      <c r="D119" s="117" t="s">
        <v>16</v>
      </c>
    </row>
    <row r="120" spans="1:5" x14ac:dyDescent="0.2">
      <c r="A120" s="63" t="s">
        <v>23</v>
      </c>
      <c r="B120" s="63" t="s">
        <v>60</v>
      </c>
      <c r="C120" s="64">
        <v>31</v>
      </c>
      <c r="D120" s="133">
        <f t="shared" ref="D120" si="11">C120/82</f>
        <v>0.37804878048780488</v>
      </c>
    </row>
    <row r="122" spans="1:5" ht="24" x14ac:dyDescent="0.2">
      <c r="A122" s="98" t="s">
        <v>11</v>
      </c>
      <c r="B122" s="98" t="s">
        <v>222</v>
      </c>
      <c r="C122" s="98" t="s">
        <v>37</v>
      </c>
      <c r="D122" s="117" t="s">
        <v>223</v>
      </c>
    </row>
    <row r="123" spans="1:5" x14ac:dyDescent="0.2">
      <c r="A123" s="99" t="s">
        <v>23</v>
      </c>
      <c r="B123" s="99" t="s">
        <v>60</v>
      </c>
      <c r="C123" s="100">
        <v>16</v>
      </c>
      <c r="D123" s="119">
        <f>C123/C120</f>
        <v>0.5161290322580645</v>
      </c>
    </row>
    <row r="125" spans="1:5" x14ac:dyDescent="0.2">
      <c r="A125" s="65" t="s">
        <v>11</v>
      </c>
      <c r="B125" s="65" t="s">
        <v>192</v>
      </c>
      <c r="C125" s="65" t="s">
        <v>37</v>
      </c>
      <c r="D125" s="117" t="s">
        <v>16</v>
      </c>
    </row>
    <row r="126" spans="1:5" x14ac:dyDescent="0.2">
      <c r="A126" s="66" t="s">
        <v>23</v>
      </c>
      <c r="B126" s="66" t="s">
        <v>60</v>
      </c>
      <c r="C126" s="67">
        <v>15</v>
      </c>
      <c r="D126" s="133">
        <f t="shared" ref="D126" si="12">C126/82</f>
        <v>0.18292682926829268</v>
      </c>
    </row>
    <row r="128" spans="1:5" ht="24" x14ac:dyDescent="0.2">
      <c r="A128" s="65" t="s">
        <v>11</v>
      </c>
      <c r="B128" s="65" t="s">
        <v>224</v>
      </c>
      <c r="C128" s="65" t="s">
        <v>37</v>
      </c>
      <c r="D128" s="117" t="s">
        <v>225</v>
      </c>
    </row>
    <row r="129" spans="1:4" x14ac:dyDescent="0.2">
      <c r="A129" s="66" t="s">
        <v>23</v>
      </c>
      <c r="B129" s="66" t="s">
        <v>114</v>
      </c>
      <c r="C129" s="67">
        <v>5</v>
      </c>
      <c r="D129" s="119">
        <f>C129/15</f>
        <v>0.33333333333333331</v>
      </c>
    </row>
    <row r="130" spans="1:4" x14ac:dyDescent="0.2">
      <c r="A130" s="66" t="s">
        <v>23</v>
      </c>
      <c r="B130" s="66" t="s">
        <v>115</v>
      </c>
      <c r="C130" s="67">
        <v>7</v>
      </c>
      <c r="D130" s="119">
        <f>C130/15</f>
        <v>0.46666666666666667</v>
      </c>
    </row>
    <row r="131" spans="1:4" x14ac:dyDescent="0.2">
      <c r="A131" s="66" t="s">
        <v>23</v>
      </c>
      <c r="B131" s="66" t="s">
        <v>33</v>
      </c>
      <c r="C131" s="67">
        <v>3</v>
      </c>
      <c r="D131" s="119">
        <f>C131/15</f>
        <v>0.2</v>
      </c>
    </row>
    <row r="132" spans="1:4" x14ac:dyDescent="0.2">
      <c r="A132" s="66"/>
      <c r="B132" s="66"/>
      <c r="C132" s="67">
        <f>SUM(C129:C131)</f>
        <v>15</v>
      </c>
      <c r="D132" s="133">
        <f>SUM(D129:D131)</f>
        <v>1</v>
      </c>
    </row>
    <row r="134" spans="1:4" x14ac:dyDescent="0.2">
      <c r="B134" s="137" t="s">
        <v>63</v>
      </c>
    </row>
    <row r="135" spans="1:4" x14ac:dyDescent="0.2">
      <c r="A135" s="68" t="s">
        <v>11</v>
      </c>
      <c r="B135" s="68" t="s">
        <v>193</v>
      </c>
      <c r="C135" s="68" t="s">
        <v>37</v>
      </c>
      <c r="D135" s="117" t="s">
        <v>16</v>
      </c>
    </row>
    <row r="136" spans="1:4" x14ac:dyDescent="0.2">
      <c r="A136" s="102" t="s">
        <v>23</v>
      </c>
      <c r="B136" s="102" t="s">
        <v>117</v>
      </c>
      <c r="C136" s="103">
        <v>15</v>
      </c>
      <c r="D136" s="133">
        <f t="shared" ref="D136:D142" si="13">C136/46</f>
        <v>0.32608695652173914</v>
      </c>
    </row>
    <row r="137" spans="1:4" x14ac:dyDescent="0.2">
      <c r="A137" s="102" t="s">
        <v>23</v>
      </c>
      <c r="B137" s="102" t="s">
        <v>118</v>
      </c>
      <c r="C137" s="103">
        <v>10</v>
      </c>
      <c r="D137" s="133">
        <f t="shared" si="13"/>
        <v>0.21739130434782608</v>
      </c>
    </row>
    <row r="138" spans="1:4" x14ac:dyDescent="0.2">
      <c r="A138" s="102" t="s">
        <v>23</v>
      </c>
      <c r="B138" s="102" t="s">
        <v>119</v>
      </c>
      <c r="C138" s="103">
        <v>14</v>
      </c>
      <c r="D138" s="133">
        <f t="shared" si="13"/>
        <v>0.30434782608695654</v>
      </c>
    </row>
    <row r="139" spans="1:4" x14ac:dyDescent="0.2">
      <c r="A139" s="102" t="s">
        <v>23</v>
      </c>
      <c r="B139" s="102" t="s">
        <v>120</v>
      </c>
      <c r="C139" s="103">
        <v>1</v>
      </c>
      <c r="D139" s="133">
        <f t="shared" si="13"/>
        <v>2.1739130434782608E-2</v>
      </c>
    </row>
    <row r="140" spans="1:4" x14ac:dyDescent="0.2">
      <c r="A140" s="102" t="s">
        <v>23</v>
      </c>
      <c r="B140" s="102" t="s">
        <v>121</v>
      </c>
      <c r="C140" s="103">
        <v>2</v>
      </c>
      <c r="D140" s="133">
        <f t="shared" si="13"/>
        <v>4.3478260869565216E-2</v>
      </c>
    </row>
    <row r="141" spans="1:4" x14ac:dyDescent="0.2">
      <c r="A141" s="102" t="s">
        <v>23</v>
      </c>
      <c r="B141" s="102" t="s">
        <v>122</v>
      </c>
      <c r="C141" s="103">
        <v>3</v>
      </c>
      <c r="D141" s="133">
        <f t="shared" si="13"/>
        <v>6.5217391304347824E-2</v>
      </c>
    </row>
    <row r="142" spans="1:4" x14ac:dyDescent="0.2">
      <c r="A142" s="102" t="s">
        <v>23</v>
      </c>
      <c r="B142" s="102" t="s">
        <v>123</v>
      </c>
      <c r="C142" s="103">
        <v>1</v>
      </c>
      <c r="D142" s="133">
        <f t="shared" si="13"/>
        <v>2.1739130434782608E-2</v>
      </c>
    </row>
    <row r="143" spans="1:4" x14ac:dyDescent="0.2">
      <c r="C143" s="136">
        <f>SUM(C136:C142)</f>
        <v>46</v>
      </c>
      <c r="D143" s="133">
        <f>SUM(D136:D142)</f>
        <v>0.99999999999999989</v>
      </c>
    </row>
    <row r="145" spans="1:6" ht="24" x14ac:dyDescent="0.2">
      <c r="A145" s="71" t="s">
        <v>11</v>
      </c>
      <c r="B145" s="71" t="s">
        <v>124</v>
      </c>
      <c r="C145" s="71" t="s">
        <v>175</v>
      </c>
      <c r="D145" s="71" t="s">
        <v>194</v>
      </c>
      <c r="E145" s="71" t="s">
        <v>3</v>
      </c>
      <c r="F145" s="71" t="s">
        <v>16</v>
      </c>
    </row>
    <row r="146" spans="1:6" s="139" customFormat="1" x14ac:dyDescent="0.2">
      <c r="A146" s="72" t="s">
        <v>23</v>
      </c>
      <c r="B146" s="72" t="s">
        <v>195</v>
      </c>
      <c r="C146" s="73">
        <v>0</v>
      </c>
      <c r="D146" s="73">
        <v>1</v>
      </c>
      <c r="E146" s="73">
        <f t="shared" ref="E146:E153" si="14">SUM(C146:D146)</f>
        <v>1</v>
      </c>
      <c r="F146" s="138">
        <f>E146/94</f>
        <v>1.0638297872340425E-2</v>
      </c>
    </row>
    <row r="147" spans="1:6" x14ac:dyDescent="0.2">
      <c r="A147" s="76" t="s">
        <v>23</v>
      </c>
      <c r="B147" s="76" t="s">
        <v>128</v>
      </c>
      <c r="C147" s="77">
        <v>11</v>
      </c>
      <c r="D147" s="136">
        <v>4</v>
      </c>
      <c r="E147" s="73">
        <f t="shared" si="14"/>
        <v>15</v>
      </c>
      <c r="F147" s="138">
        <f t="shared" ref="F147:F153" si="15">E147/94</f>
        <v>0.15957446808510639</v>
      </c>
    </row>
    <row r="148" spans="1:6" x14ac:dyDescent="0.2">
      <c r="A148" s="76" t="s">
        <v>23</v>
      </c>
      <c r="B148" s="76" t="s">
        <v>129</v>
      </c>
      <c r="C148" s="77">
        <v>11</v>
      </c>
      <c r="D148" s="136">
        <v>2</v>
      </c>
      <c r="E148" s="73">
        <f t="shared" si="14"/>
        <v>13</v>
      </c>
      <c r="F148" s="138">
        <f t="shared" si="15"/>
        <v>0.13829787234042554</v>
      </c>
    </row>
    <row r="149" spans="1:6" x14ac:dyDescent="0.2">
      <c r="A149" s="76" t="s">
        <v>23</v>
      </c>
      <c r="B149" s="76" t="s">
        <v>130</v>
      </c>
      <c r="C149" s="77">
        <v>15</v>
      </c>
      <c r="D149" s="136">
        <v>0</v>
      </c>
      <c r="E149" s="73">
        <f t="shared" si="14"/>
        <v>15</v>
      </c>
      <c r="F149" s="138">
        <f t="shared" si="15"/>
        <v>0.15957446808510639</v>
      </c>
    </row>
    <row r="150" spans="1:6" x14ac:dyDescent="0.2">
      <c r="A150" s="76" t="s">
        <v>23</v>
      </c>
      <c r="B150" s="76" t="s">
        <v>131</v>
      </c>
      <c r="C150" s="77">
        <v>15</v>
      </c>
      <c r="D150" s="136">
        <v>1</v>
      </c>
      <c r="E150" s="73">
        <f t="shared" si="14"/>
        <v>16</v>
      </c>
      <c r="F150" s="138">
        <f t="shared" si="15"/>
        <v>0.1702127659574468</v>
      </c>
    </row>
    <row r="151" spans="1:6" x14ac:dyDescent="0.2">
      <c r="A151" s="76" t="s">
        <v>23</v>
      </c>
      <c r="B151" s="76" t="s">
        <v>132</v>
      </c>
      <c r="C151" s="77">
        <v>20</v>
      </c>
      <c r="D151" s="136">
        <v>3</v>
      </c>
      <c r="E151" s="73">
        <f t="shared" si="14"/>
        <v>23</v>
      </c>
      <c r="F151" s="138">
        <f t="shared" si="15"/>
        <v>0.24468085106382978</v>
      </c>
    </row>
    <row r="152" spans="1:6" x14ac:dyDescent="0.2">
      <c r="A152" s="76" t="s">
        <v>23</v>
      </c>
      <c r="B152" s="76" t="s">
        <v>133</v>
      </c>
      <c r="C152" s="77">
        <v>8</v>
      </c>
      <c r="D152" s="136">
        <v>1</v>
      </c>
      <c r="E152" s="73">
        <f t="shared" si="14"/>
        <v>9</v>
      </c>
      <c r="F152" s="138">
        <f t="shared" si="15"/>
        <v>9.5744680851063829E-2</v>
      </c>
    </row>
    <row r="153" spans="1:6" x14ac:dyDescent="0.2">
      <c r="A153" s="76" t="s">
        <v>23</v>
      </c>
      <c r="B153" s="76" t="s">
        <v>134</v>
      </c>
      <c r="C153" s="77">
        <v>2</v>
      </c>
      <c r="D153" s="136">
        <v>0</v>
      </c>
      <c r="E153" s="73">
        <f t="shared" si="14"/>
        <v>2</v>
      </c>
      <c r="F153" s="138">
        <f t="shared" si="15"/>
        <v>2.1276595744680851E-2</v>
      </c>
    </row>
    <row r="154" spans="1:6" x14ac:dyDescent="0.2">
      <c r="C154" s="136">
        <f>SUM(C146:C153)</f>
        <v>82</v>
      </c>
      <c r="D154" s="136">
        <f>SUM(D146:D153)</f>
        <v>12</v>
      </c>
      <c r="E154" s="136">
        <f>SUM(E146:E153)</f>
        <v>94</v>
      </c>
      <c r="F154" s="140">
        <f>SUM(F146:F153)</f>
        <v>1</v>
      </c>
    </row>
    <row r="156" spans="1:6" ht="24" x14ac:dyDescent="0.2">
      <c r="A156" s="78" t="s">
        <v>11</v>
      </c>
      <c r="B156" s="78" t="s">
        <v>135</v>
      </c>
      <c r="C156" s="78" t="s">
        <v>196</v>
      </c>
      <c r="D156" s="78" t="s">
        <v>197</v>
      </c>
      <c r="E156" s="78" t="s">
        <v>3</v>
      </c>
      <c r="F156" s="78" t="s">
        <v>16</v>
      </c>
    </row>
    <row r="157" spans="1:6" x14ac:dyDescent="0.2">
      <c r="A157" s="79" t="s">
        <v>23</v>
      </c>
      <c r="B157" s="79" t="s">
        <v>137</v>
      </c>
      <c r="C157" s="80">
        <v>71</v>
      </c>
      <c r="D157" s="136">
        <v>8</v>
      </c>
      <c r="E157" s="136">
        <f>SUM(C157:D157)</f>
        <v>79</v>
      </c>
      <c r="F157" s="138">
        <f t="shared" ref="F157:F160" si="16">E157/94</f>
        <v>0.84042553191489366</v>
      </c>
    </row>
    <row r="158" spans="1:6" x14ac:dyDescent="0.2">
      <c r="A158" s="79" t="s">
        <v>23</v>
      </c>
      <c r="B158" s="79" t="s">
        <v>138</v>
      </c>
      <c r="C158" s="80">
        <v>2</v>
      </c>
      <c r="D158" s="136">
        <v>0</v>
      </c>
      <c r="E158" s="136">
        <f>SUM(C158:D158)</f>
        <v>2</v>
      </c>
      <c r="F158" s="138">
        <f t="shared" si="16"/>
        <v>2.1276595744680851E-2</v>
      </c>
    </row>
    <row r="159" spans="1:6" x14ac:dyDescent="0.2">
      <c r="A159" s="79" t="s">
        <v>23</v>
      </c>
      <c r="B159" s="79" t="s">
        <v>140</v>
      </c>
      <c r="C159" s="80">
        <v>8</v>
      </c>
      <c r="D159" s="136">
        <v>0</v>
      </c>
      <c r="E159" s="136">
        <f>SUM(C159:D159)</f>
        <v>8</v>
      </c>
      <c r="F159" s="138">
        <f t="shared" si="16"/>
        <v>8.5106382978723402E-2</v>
      </c>
    </row>
    <row r="160" spans="1:6" x14ac:dyDescent="0.2">
      <c r="A160" s="79" t="s">
        <v>23</v>
      </c>
      <c r="B160" s="79" t="s">
        <v>142</v>
      </c>
      <c r="C160" s="80">
        <v>1</v>
      </c>
      <c r="D160" s="136">
        <v>4</v>
      </c>
      <c r="E160" s="136">
        <f>SUM(C160:D160)</f>
        <v>5</v>
      </c>
      <c r="F160" s="138">
        <f t="shared" si="16"/>
        <v>5.3191489361702128E-2</v>
      </c>
    </row>
    <row r="161" spans="1:6" x14ac:dyDescent="0.2">
      <c r="C161" s="136">
        <f>SUM(C157:C160)</f>
        <v>82</v>
      </c>
      <c r="D161" s="136">
        <f>SUM(D157:D160)</f>
        <v>12</v>
      </c>
      <c r="E161" s="136">
        <f>SUM(E157:E160)</f>
        <v>94</v>
      </c>
      <c r="F161" s="133">
        <f>SUM(F157:F160)</f>
        <v>1</v>
      </c>
    </row>
    <row r="163" spans="1:6" ht="24" x14ac:dyDescent="0.2">
      <c r="A163" s="78" t="s">
        <v>11</v>
      </c>
      <c r="B163" s="78" t="s">
        <v>198</v>
      </c>
      <c r="C163" s="78" t="s">
        <v>196</v>
      </c>
      <c r="D163" s="78" t="s">
        <v>197</v>
      </c>
      <c r="E163" s="78" t="s">
        <v>3</v>
      </c>
      <c r="F163" s="78" t="s">
        <v>16</v>
      </c>
    </row>
    <row r="164" spans="1:6" x14ac:dyDescent="0.2">
      <c r="A164" s="107" t="s">
        <v>23</v>
      </c>
      <c r="B164" s="107" t="s">
        <v>60</v>
      </c>
      <c r="C164" s="108">
        <v>7</v>
      </c>
      <c r="D164" s="136">
        <v>4</v>
      </c>
      <c r="E164" s="136">
        <f>SUM(C164:D164)</f>
        <v>11</v>
      </c>
      <c r="F164" s="138">
        <f t="shared" ref="F164" si="17">E164/94</f>
        <v>0.11702127659574468</v>
      </c>
    </row>
    <row r="167" spans="1:6" ht="24" x14ac:dyDescent="0.2">
      <c r="A167" s="82" t="s">
        <v>11</v>
      </c>
      <c r="B167" s="82" t="s">
        <v>199</v>
      </c>
      <c r="C167" s="82" t="s">
        <v>200</v>
      </c>
      <c r="D167" s="117" t="s">
        <v>125</v>
      </c>
      <c r="E167" s="82" t="s">
        <v>3</v>
      </c>
      <c r="F167" s="82" t="s">
        <v>16</v>
      </c>
    </row>
    <row r="168" spans="1:6" x14ac:dyDescent="0.2">
      <c r="A168" s="83" t="s">
        <v>23</v>
      </c>
      <c r="B168" s="83" t="s">
        <v>145</v>
      </c>
      <c r="C168" s="84">
        <v>53</v>
      </c>
      <c r="D168" s="84">
        <v>5</v>
      </c>
      <c r="E168" s="84">
        <f>SUM(C168:D168)</f>
        <v>58</v>
      </c>
      <c r="F168" s="138">
        <f t="shared" ref="F168:F170" si="18">E168/94</f>
        <v>0.61702127659574468</v>
      </c>
    </row>
    <row r="169" spans="1:6" x14ac:dyDescent="0.2">
      <c r="A169" s="83" t="s">
        <v>23</v>
      </c>
      <c r="B169" s="83" t="s">
        <v>146</v>
      </c>
      <c r="C169" s="84">
        <v>25</v>
      </c>
      <c r="D169" s="84">
        <v>6</v>
      </c>
      <c r="E169" s="84">
        <f>SUM(C169:D169)</f>
        <v>31</v>
      </c>
      <c r="F169" s="138">
        <f t="shared" si="18"/>
        <v>0.32978723404255317</v>
      </c>
    </row>
    <row r="170" spans="1:6" x14ac:dyDescent="0.2">
      <c r="A170" s="83" t="s">
        <v>23</v>
      </c>
      <c r="B170" s="83" t="s">
        <v>148</v>
      </c>
      <c r="C170" s="84">
        <v>4</v>
      </c>
      <c r="D170" s="84">
        <v>1</v>
      </c>
      <c r="E170" s="84">
        <f>SUM(C170:D170)</f>
        <v>5</v>
      </c>
      <c r="F170" s="138">
        <f t="shared" si="18"/>
        <v>5.3191489361702128E-2</v>
      </c>
    </row>
    <row r="171" spans="1:6" x14ac:dyDescent="0.2">
      <c r="C171" s="136">
        <f>SUM(C168:C170)</f>
        <v>82</v>
      </c>
      <c r="D171" s="136">
        <f>SUM(D168:D170)</f>
        <v>12</v>
      </c>
      <c r="E171" s="136">
        <f>SUM(E168:E170)</f>
        <v>94</v>
      </c>
      <c r="F171" s="133">
        <f>SUM(F168:F170)</f>
        <v>1</v>
      </c>
    </row>
    <row r="173" spans="1:6" ht="24" x14ac:dyDescent="0.2">
      <c r="A173" s="121"/>
      <c r="B173" s="131" t="s">
        <v>204</v>
      </c>
      <c r="C173" s="121"/>
      <c r="D173" s="121"/>
      <c r="E173" s="121"/>
      <c r="F173" s="121"/>
    </row>
    <row r="174" spans="1:6" ht="36" x14ac:dyDescent="0.2">
      <c r="A174" s="85" t="s">
        <v>11</v>
      </c>
      <c r="B174" s="85" t="s">
        <v>205</v>
      </c>
      <c r="C174" s="85" t="s">
        <v>206</v>
      </c>
      <c r="D174" s="85" t="s">
        <v>207</v>
      </c>
      <c r="E174" s="117" t="s">
        <v>16</v>
      </c>
      <c r="F174" s="85" t="s">
        <v>208</v>
      </c>
    </row>
    <row r="175" spans="1:6" x14ac:dyDescent="0.2">
      <c r="A175" s="86" t="s">
        <v>23</v>
      </c>
      <c r="B175" s="86" t="s">
        <v>226</v>
      </c>
      <c r="C175" s="87">
        <v>1</v>
      </c>
      <c r="D175" s="87">
        <v>22</v>
      </c>
      <c r="E175" s="133">
        <f>D175/31</f>
        <v>0.70967741935483875</v>
      </c>
      <c r="F175" s="87">
        <v>22</v>
      </c>
    </row>
    <row r="176" spans="1:6" x14ac:dyDescent="0.2">
      <c r="A176" s="86" t="s">
        <v>23</v>
      </c>
      <c r="B176" s="86" t="s">
        <v>209</v>
      </c>
      <c r="C176" s="87">
        <v>1</v>
      </c>
      <c r="D176" s="87">
        <v>7</v>
      </c>
      <c r="E176" s="133">
        <f>D176/31</f>
        <v>0.22580645161290322</v>
      </c>
      <c r="F176" s="87">
        <v>7</v>
      </c>
    </row>
    <row r="177" spans="1:6" x14ac:dyDescent="0.2">
      <c r="A177" s="86" t="s">
        <v>23</v>
      </c>
      <c r="B177" s="86" t="s">
        <v>210</v>
      </c>
      <c r="C177" s="87">
        <v>2</v>
      </c>
      <c r="D177" s="87">
        <v>2</v>
      </c>
      <c r="E177" s="133">
        <f>D177/31</f>
        <v>6.4516129032258063E-2</v>
      </c>
      <c r="F177" s="87">
        <v>2</v>
      </c>
    </row>
    <row r="178" spans="1:6" x14ac:dyDescent="0.2">
      <c r="C178" s="136">
        <f>SUM(C175:C177)</f>
        <v>4</v>
      </c>
      <c r="D178" s="136">
        <f>SUM(D175:D177)</f>
        <v>31</v>
      </c>
      <c r="E178" s="133">
        <f>SUM(E175:E177)</f>
        <v>1</v>
      </c>
      <c r="F178" s="136">
        <f>SUM(F175:F177)</f>
        <v>31</v>
      </c>
    </row>
    <row r="179" spans="1:6" x14ac:dyDescent="0.2">
      <c r="F179" s="133">
        <f>D178/F178</f>
        <v>1</v>
      </c>
    </row>
  </sheetData>
  <printOptions horizontalCentered="1"/>
  <pageMargins left="0.7" right="0.7" top="0.75" bottom="0.75" header="0.3" footer="0.3"/>
  <pageSetup orientation="portrait" horizontalDpi="4294967293" verticalDpi="4294967293" r:id="rId1"/>
  <headerFooter>
    <oddHeader>&amp;L&amp;"-,Bold"&amp;8La Paz County&amp;C&amp;"-,Bold"&amp;8AZ Balance of State
Continuum of Care
2018 Point In Time Data Report &amp;R&amp;"-,Bold"&amp;8&amp;P of &amp;N
&amp;D</oddHeader>
  </headerFooter>
  <rowBreaks count="1" manualBreakCount="1"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</vt:i4>
      </vt:variant>
    </vt:vector>
  </HeadingPairs>
  <TitlesOfParts>
    <vt:vector size="21" baseType="lpstr">
      <vt:lpstr>BOS</vt:lpstr>
      <vt:lpstr>Youth</vt:lpstr>
      <vt:lpstr>Apache</vt:lpstr>
      <vt:lpstr>Cochise</vt:lpstr>
      <vt:lpstr>Coconino</vt:lpstr>
      <vt:lpstr>Gila</vt:lpstr>
      <vt:lpstr>Graham</vt:lpstr>
      <vt:lpstr>Greenlee</vt:lpstr>
      <vt:lpstr>La Paz</vt:lpstr>
      <vt:lpstr>Mohave</vt:lpstr>
      <vt:lpstr>Navajo</vt:lpstr>
      <vt:lpstr>Pinal</vt:lpstr>
      <vt:lpstr>Santa Cruz</vt:lpstr>
      <vt:lpstr>Yavapai</vt:lpstr>
      <vt:lpstr>Yuma</vt:lpstr>
      <vt:lpstr>Apache!Print_Area</vt:lpstr>
      <vt:lpstr>BOS!Print_Area</vt:lpstr>
      <vt:lpstr>Cochise!Print_Area</vt:lpstr>
      <vt:lpstr>Coconino!Print_Area</vt:lpstr>
      <vt:lpstr>Greenlee!Print_Area</vt:lpstr>
      <vt:lpstr>Youth!Print_Area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stanton</dc:creator>
  <cp:lastModifiedBy>Anna Luna</cp:lastModifiedBy>
  <cp:lastPrinted>2018-07-20T20:31:46Z</cp:lastPrinted>
  <dcterms:created xsi:type="dcterms:W3CDTF">2018-06-12T23:57:15Z</dcterms:created>
  <dcterms:modified xsi:type="dcterms:W3CDTF">2018-07-20T20:39:03Z</dcterms:modified>
</cp:coreProperties>
</file>